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worksheets/sheet12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32767" yWindow="460" windowWidth="26820" windowHeight="14900" tabRatio="869" activeTab="3"/>
  </bookViews>
  <sheets>
    <sheet name="Cover" sheetId="1" r:id="rId1"/>
    <sheet name="Information Page" sheetId="2" r:id="rId2"/>
    <sheet name="P&amp;L Summary" sheetId="3" r:id="rId3"/>
    <sheet name="P&amp;L Details" sheetId="4" r:id="rId4"/>
    <sheet name="Balance Sheet" sheetId="5" r:id="rId5"/>
    <sheet name="Accounts Details " sheetId="6" r:id="rId6"/>
    <sheet name="Bank Reconciliations" sheetId="7" r:id="rId7"/>
    <sheet name="Sheet1" sheetId="8" state="hidden" r:id="rId8"/>
    <sheet name="Bank Listing" sheetId="9" state="hidden" r:id="rId9"/>
    <sheet name="Budget" sheetId="10" state="hidden" r:id="rId10"/>
    <sheet name="Budget Diff" sheetId="11" state="hidden" r:id="rId11"/>
    <sheet name="Budget Details" sheetId="12" state="hidden" r:id="rId12"/>
  </sheets>
  <definedNames>
    <definedName name="_xlnm.Print_Area" localSheetId="5">'Accounts Details '!$A$1:$H$57</definedName>
    <definedName name="_xlnm.Print_Area" localSheetId="3">'P&amp;L Details'!$A$1:$AA$69</definedName>
  </definedNames>
  <calcPr fullCalcOnLoad="1"/>
</workbook>
</file>

<file path=xl/sharedStrings.xml><?xml version="1.0" encoding="utf-8"?>
<sst xmlns="http://schemas.openxmlformats.org/spreadsheetml/2006/main" count="525" uniqueCount="305">
  <si>
    <t>OPERATING EXPENSES</t>
  </si>
  <si>
    <t>Total Operating Expenses</t>
  </si>
  <si>
    <t>National</t>
  </si>
  <si>
    <t>Dublin</t>
  </si>
  <si>
    <t>Galway</t>
  </si>
  <si>
    <t>Thurles</t>
  </si>
  <si>
    <t>Total</t>
  </si>
  <si>
    <t>€</t>
  </si>
  <si>
    <t>INCOME</t>
  </si>
  <si>
    <t>Life Ireland Ltd</t>
  </si>
  <si>
    <t>12 Mths 2011</t>
  </si>
  <si>
    <t>Variance</t>
  </si>
  <si>
    <t>Balance Sheet</t>
  </si>
  <si>
    <t>FIXED ASSETS</t>
  </si>
  <si>
    <t>CURRENT ASSETS</t>
  </si>
  <si>
    <t>CURRENT LIABILITIES</t>
  </si>
  <si>
    <t>Total Current Liabilities</t>
  </si>
  <si>
    <t>Capital and Reserves</t>
  </si>
  <si>
    <t>As at</t>
  </si>
  <si>
    <t>Note</t>
  </si>
  <si>
    <t>Life Pregnancy Care Ireland Limited</t>
  </si>
  <si>
    <t>Tangible Assets</t>
  </si>
  <si>
    <t>Bank and Cash on Hand</t>
  </si>
  <si>
    <t>Capital Grants</t>
  </si>
  <si>
    <t>Account Details</t>
  </si>
  <si>
    <t>Information Page</t>
  </si>
  <si>
    <t>Page</t>
  </si>
  <si>
    <t>National:</t>
  </si>
  <si>
    <t>Insurance</t>
  </si>
  <si>
    <t>-</t>
  </si>
  <si>
    <t>Cork:</t>
  </si>
  <si>
    <t>Rent</t>
  </si>
  <si>
    <t>Advertising</t>
  </si>
  <si>
    <t>Thurles:</t>
  </si>
  <si>
    <t>Light and Heat</t>
  </si>
  <si>
    <t>Telephone</t>
  </si>
  <si>
    <t>Household Expenses</t>
  </si>
  <si>
    <t>Net Current Assets</t>
  </si>
  <si>
    <t>Fundraising</t>
  </si>
  <si>
    <t>Shop income Thurles</t>
  </si>
  <si>
    <t>Bank Interest Receivable</t>
  </si>
  <si>
    <t>Staff Salaries</t>
  </si>
  <si>
    <t>Employers PRSI</t>
  </si>
  <si>
    <t>Recruitment</t>
  </si>
  <si>
    <t>Staff Training</t>
  </si>
  <si>
    <t>Heat and Light</t>
  </si>
  <si>
    <t>Repairs</t>
  </si>
  <si>
    <t>Printing and Stationery</t>
  </si>
  <si>
    <t>Bank Charges</t>
  </si>
  <si>
    <t>General Expenses</t>
  </si>
  <si>
    <t>Membership and Subscriptions</t>
  </si>
  <si>
    <t>Professional and Accountant fees</t>
  </si>
  <si>
    <t>Depreciation Charge</t>
  </si>
  <si>
    <t>Donations</t>
  </si>
  <si>
    <t>Cork P&amp;L</t>
  </si>
  <si>
    <t>Jan</t>
  </si>
  <si>
    <t>Feb</t>
  </si>
  <si>
    <t>Mar</t>
  </si>
  <si>
    <t>Apr</t>
  </si>
  <si>
    <t>May</t>
  </si>
  <si>
    <t>Jun</t>
  </si>
  <si>
    <t>Education</t>
  </si>
  <si>
    <t>General Expense</t>
  </si>
  <si>
    <t>Stationary</t>
  </si>
  <si>
    <t>Travel</t>
  </si>
  <si>
    <t>Supervision</t>
  </si>
  <si>
    <t>Training</t>
  </si>
  <si>
    <t>Total Income</t>
  </si>
  <si>
    <t>Total Expenditure</t>
  </si>
  <si>
    <t>Surplus / Deficit</t>
  </si>
  <si>
    <t>Subscriptions</t>
  </si>
  <si>
    <t>Advertisiing</t>
  </si>
  <si>
    <t>Other</t>
  </si>
  <si>
    <t>Cork</t>
  </si>
  <si>
    <t>Inter</t>
  </si>
  <si>
    <t>Promotional Literature</t>
  </si>
  <si>
    <t>Current</t>
  </si>
  <si>
    <t>Prepayments and Other Debtors</t>
  </si>
  <si>
    <t>Staff Pension</t>
  </si>
  <si>
    <t>Supervision Expenses</t>
  </si>
  <si>
    <t>Tuition Fees</t>
  </si>
  <si>
    <t>Fundraising Expenses</t>
  </si>
  <si>
    <t>Conference Costs</t>
  </si>
  <si>
    <t>Computer Costs</t>
  </si>
  <si>
    <t>Telephone and Internet</t>
  </si>
  <si>
    <t>Travel &amp; Subsistence</t>
  </si>
  <si>
    <t>Audit Fees</t>
  </si>
  <si>
    <t>Rental Income</t>
  </si>
  <si>
    <t xml:space="preserve">Other Income </t>
  </si>
  <si>
    <t>CPP Income</t>
  </si>
  <si>
    <t>Capital Grants to Income</t>
  </si>
  <si>
    <t xml:space="preserve">Dublin City Council </t>
  </si>
  <si>
    <t xml:space="preserve">Donations and Subscriptions </t>
  </si>
  <si>
    <t>Life Pregnancy Care Ireland Limited - Listing of Bank Accounts</t>
  </si>
  <si>
    <t>A/c No.</t>
  </si>
  <si>
    <t>Bank A/c Type</t>
  </si>
  <si>
    <t>Current a/c</t>
  </si>
  <si>
    <t>Bank</t>
  </si>
  <si>
    <t>Merrion Road, Dublin 4</t>
  </si>
  <si>
    <t>A/c Name</t>
  </si>
  <si>
    <t>Signatories</t>
  </si>
  <si>
    <t>Post address</t>
  </si>
  <si>
    <t>Life Pregnancy Care Ireland Limited, 29-30 Dame Street Dublin 2</t>
  </si>
  <si>
    <t>Notes</t>
  </si>
  <si>
    <t>Main bank account of Life National</t>
  </si>
  <si>
    <t xml:space="preserve">Life Ireland </t>
  </si>
  <si>
    <t>Old Life account, closed in January 2012</t>
  </si>
  <si>
    <t>Deposit a/c</t>
  </si>
  <si>
    <t>Old deposit account, closed in January 2012</t>
  </si>
  <si>
    <t>Bank of Ireland</t>
  </si>
  <si>
    <t>Life Ireland Limtied</t>
  </si>
  <si>
    <t>Mrs Vanessa Byrne, Cloneen, Ballysax, The Curragh, Co. Kildare</t>
  </si>
  <si>
    <t>Main bank account of Life Dublin</t>
  </si>
  <si>
    <t>Life House Management</t>
  </si>
  <si>
    <t>Bank account for Life Dublin House</t>
  </si>
  <si>
    <t>6 Lower O'Connoll Street</t>
  </si>
  <si>
    <t>Life House Management, 29-30 Dame Street Dublin 2</t>
  </si>
  <si>
    <t>ICS Building Society</t>
  </si>
  <si>
    <t>Only transactions is a small amount of interest received</t>
  </si>
  <si>
    <t>Life Ireland Limited Creche</t>
  </si>
  <si>
    <t>No transactions since 2006</t>
  </si>
  <si>
    <t>The Chairman, Life Ireland (Dublin) Limited, 29-30 Dame Street Dublin 2</t>
  </si>
  <si>
    <t>PTSB</t>
  </si>
  <si>
    <t>40/41 Patrick Street Cork</t>
  </si>
  <si>
    <t>Life Pregnancy Care Service</t>
  </si>
  <si>
    <t>Miss Eilish Forrest, 37 Castleview, Little Island, Cork</t>
  </si>
  <si>
    <t>Main Bank account Life Cork</t>
  </si>
  <si>
    <t>Miss Deborah Cotter, 37 Castleview, Little Island, Cork</t>
  </si>
  <si>
    <t>Last transaction Sept 2011</t>
  </si>
  <si>
    <t>Last transaction Mar 2011</t>
  </si>
  <si>
    <t>Eyre Square Galway</t>
  </si>
  <si>
    <t>Life Pregnancy Care Service (Galway)</t>
  </si>
  <si>
    <t>Martin Gleeson, 29 Garrai Glass, Athenry, Co. Galway</t>
  </si>
  <si>
    <t>Ms. Marie B Fitzpatrick, 29/30 Dame Street, Dublin 2</t>
  </si>
  <si>
    <t>70 Grafton Street, Dublin 2</t>
  </si>
  <si>
    <t>N/A</t>
  </si>
  <si>
    <t xml:space="preserve">Closed </t>
  </si>
  <si>
    <t>N/A, closed</t>
  </si>
  <si>
    <t>No transactions since 2011</t>
  </si>
  <si>
    <t>Ulster Bank</t>
  </si>
  <si>
    <t>No details</t>
  </si>
  <si>
    <t>No Details</t>
  </si>
  <si>
    <t>Balance per Mgt A/c 30/06</t>
  </si>
  <si>
    <t>Total as per Bank Balance per Management Accounts 30/06</t>
  </si>
  <si>
    <t>Life Branch</t>
  </si>
  <si>
    <t>Bank Branch</t>
  </si>
  <si>
    <t xml:space="preserve">Mary McCarthy, Gillian McGill, Mary Shiels, Mary Colette Hayes </t>
  </si>
  <si>
    <t xml:space="preserve">Joe Carthy, Vanessa Byrne, Patrick Davies, Mary Colette Hayes </t>
  </si>
  <si>
    <t xml:space="preserve">Patrick Davies, Vanessa Byrne, Joe Carthy, Mary Colette Hayes, Rea Finnegan </t>
  </si>
  <si>
    <t xml:space="preserve">Mary McMahon, Betty Dunne </t>
  </si>
  <si>
    <t xml:space="preserve">Joe Carthy, Michael Hayes </t>
  </si>
  <si>
    <t>Mary Adams, Anne Kennedy, Marie Fitzpatrick, Paula O'Connor, Anne McGrath</t>
  </si>
  <si>
    <t>Debra Cotter, Eilish Forrest</t>
  </si>
  <si>
    <t xml:space="preserve">Mary O" Reilly, Moira Morrissey </t>
  </si>
  <si>
    <t>Martin Gleeson</t>
  </si>
  <si>
    <t>Jul</t>
  </si>
  <si>
    <t>Aug</t>
  </si>
  <si>
    <t>Sep</t>
  </si>
  <si>
    <t>Audit / Accounts</t>
  </si>
  <si>
    <t xml:space="preserve"> </t>
  </si>
  <si>
    <t>Creditors and Accruals</t>
  </si>
  <si>
    <t>Creditors</t>
  </si>
  <si>
    <t>Board Meeting Expenses</t>
  </si>
  <si>
    <t>Budget 2013</t>
  </si>
  <si>
    <t>Actual 2011</t>
  </si>
  <si>
    <t>Budget Details - Per Branch</t>
  </si>
  <si>
    <t>Budget Summary 2013</t>
  </si>
  <si>
    <t>Legal Fees</t>
  </si>
  <si>
    <t>Loss on Disposal</t>
  </si>
  <si>
    <t>HSE Income</t>
  </si>
  <si>
    <t>Petty Cash</t>
  </si>
  <si>
    <t>Audit</t>
  </si>
  <si>
    <t>Accounting</t>
  </si>
  <si>
    <t>Contract Staff</t>
  </si>
  <si>
    <t>Life PCI Limited</t>
  </si>
  <si>
    <t>Actual 2012</t>
  </si>
  <si>
    <t>%</t>
  </si>
  <si>
    <t>Budget Vs. Actual 2013/2012</t>
  </si>
  <si>
    <t>Notes to the Accounts</t>
  </si>
  <si>
    <t>Travel and Subsistence</t>
  </si>
  <si>
    <t>Professional and Accountant Fees</t>
  </si>
  <si>
    <t>Surplus for the year</t>
  </si>
  <si>
    <t>1. Prepayments and Other Debtors</t>
  </si>
  <si>
    <t>2. Bank and Cash</t>
  </si>
  <si>
    <t>3. Creditors and Accruals</t>
  </si>
  <si>
    <t>Projected</t>
  </si>
  <si>
    <t>Actual</t>
  </si>
  <si>
    <t>Year</t>
  </si>
  <si>
    <t>Ended</t>
  </si>
  <si>
    <t>Surplus/(Deficit) for period</t>
  </si>
  <si>
    <t>Dublin House</t>
  </si>
  <si>
    <t>Dublin/ Dublin House</t>
  </si>
  <si>
    <t>Dublin City Council- Dublin House</t>
  </si>
  <si>
    <t>1. Fixed Assets</t>
  </si>
  <si>
    <t>Heat and Light &amp; cleaning</t>
  </si>
  <si>
    <t>Printing , stationery, postage</t>
  </si>
  <si>
    <t>Surplus/(Deficit) for year to date</t>
  </si>
  <si>
    <t>Tusla</t>
  </si>
  <si>
    <t>Petty Cash/Credit card</t>
  </si>
  <si>
    <t xml:space="preserve">Anew Support Services CLG </t>
  </si>
  <si>
    <t xml:space="preserve">Anew Support Services Ltd </t>
  </si>
  <si>
    <t>Anew Support Services CLG</t>
  </si>
  <si>
    <t>Bank interest</t>
  </si>
  <si>
    <t>Rent, rates &amp; facilities mgt</t>
  </si>
  <si>
    <t>Fire safety</t>
  </si>
  <si>
    <t>Outreach room rental</t>
  </si>
  <si>
    <t>TV connection</t>
  </si>
  <si>
    <t>Designated Funds</t>
  </si>
  <si>
    <t>Revaluation of Reserves</t>
  </si>
  <si>
    <t>Alarm Monitoring</t>
  </si>
  <si>
    <t>clients/hostel exps</t>
  </si>
  <si>
    <t>Canteen</t>
  </si>
  <si>
    <t>Floating Support Rent</t>
  </si>
  <si>
    <t>PAYE /PRSI</t>
  </si>
  <si>
    <t>Accountancy/General exps</t>
  </si>
  <si>
    <t>Shop Income</t>
  </si>
  <si>
    <t>Thurles shop</t>
  </si>
  <si>
    <t>Rental Income Accommodation Service</t>
  </si>
  <si>
    <t>General office costs</t>
  </si>
  <si>
    <t>Accountancy</t>
  </si>
  <si>
    <t>Dublin - CPP</t>
  </si>
  <si>
    <t>Thurles -CPP</t>
  </si>
  <si>
    <t>Cork - CPP</t>
  </si>
  <si>
    <t>National- CPP</t>
  </si>
  <si>
    <t>TUSLA - SLA</t>
  </si>
  <si>
    <t>Other Income</t>
  </si>
  <si>
    <t>Lease of office equipment</t>
  </si>
  <si>
    <t>DRHE</t>
  </si>
  <si>
    <t>Tusla SLA</t>
  </si>
  <si>
    <t>Other income</t>
  </si>
  <si>
    <t>Rent - Cork</t>
  </si>
  <si>
    <t>Rent Thurles</t>
  </si>
  <si>
    <t>Leasing of office equipment</t>
  </si>
  <si>
    <t>Non restricted income</t>
  </si>
  <si>
    <t>TUSLA 2017</t>
  </si>
  <si>
    <t>Health &amp; Safety</t>
  </si>
  <si>
    <t>Alarm monitoring</t>
  </si>
  <si>
    <t>client expenses</t>
  </si>
  <si>
    <t xml:space="preserve">Pearse Street </t>
  </si>
  <si>
    <t xml:space="preserve">Shop Income          </t>
  </si>
  <si>
    <t>.</t>
  </si>
  <si>
    <t>Restricted Funds</t>
  </si>
  <si>
    <t>Grant</t>
  </si>
  <si>
    <t>Tusla 2017</t>
  </si>
  <si>
    <t>Grant income</t>
  </si>
  <si>
    <t>Bicycle loan</t>
  </si>
  <si>
    <t>Zinon</t>
  </si>
  <si>
    <t>M Morrissey exps</t>
  </si>
  <si>
    <t>Annual report/website</t>
  </si>
  <si>
    <t>Deferred Income</t>
  </si>
  <si>
    <t>Networking</t>
  </si>
  <si>
    <t>Projects</t>
  </si>
  <si>
    <t>Legal &amp; Professional</t>
  </si>
  <si>
    <t>Removal costs</t>
  </si>
  <si>
    <t>Refuse</t>
  </si>
  <si>
    <t>Networking/programme costs</t>
  </si>
  <si>
    <t>Promotional literature</t>
  </si>
  <si>
    <t>Prepayments</t>
  </si>
  <si>
    <t>Rent Deposit shop</t>
  </si>
  <si>
    <t>Unrestricted funds b/f</t>
  </si>
  <si>
    <t>Rental income Dublin-DRHE/Tusla</t>
  </si>
  <si>
    <t>DRHE- CBC</t>
  </si>
  <si>
    <t>Canteen/client food</t>
  </si>
  <si>
    <t>Rental income Newbridge/Dublin</t>
  </si>
  <si>
    <t>Staff/Volumteer event costs</t>
  </si>
  <si>
    <t xml:space="preserve">Advertising </t>
  </si>
  <si>
    <t xml:space="preserve">Rental income </t>
  </si>
  <si>
    <t>Bank Reconciliations</t>
  </si>
  <si>
    <t>Head Office Bank Account</t>
  </si>
  <si>
    <t>Balance at 1st January 2019</t>
  </si>
  <si>
    <t>Less Payments</t>
  </si>
  <si>
    <t>Less Payments:</t>
  </si>
  <si>
    <t>Closing Balance as per FS</t>
  </si>
  <si>
    <t>Dublin Bank Account</t>
  </si>
  <si>
    <t>Life House Bank Account</t>
  </si>
  <si>
    <t>Balance as at 1st January 2019</t>
  </si>
  <si>
    <t>Plus: Receipts</t>
  </si>
  <si>
    <t>Less payments:</t>
  </si>
  <si>
    <t>Closing balance as per FS</t>
  </si>
  <si>
    <t>Thurles Bank Account</t>
  </si>
  <si>
    <t>Plus: receipts</t>
  </si>
  <si>
    <t>Less: Payments</t>
  </si>
  <si>
    <t>Management Accounts for the quarter ended 31st December 2019</t>
  </si>
  <si>
    <t>Income and Expenditure Account Summary for the quarter ended 31st December 2019</t>
  </si>
  <si>
    <t>Income and Expenditure Account Details for the quarter ended 31sst December 2019</t>
  </si>
  <si>
    <t>Balance Sheet as at 31st December  2019</t>
  </si>
  <si>
    <t>Management Accounts for Quarter ended 31st December 2019</t>
  </si>
  <si>
    <t>12 Months</t>
  </si>
  <si>
    <t>Haven House</t>
  </si>
  <si>
    <t>Management Accounts to 31st December 2019</t>
  </si>
  <si>
    <t>Premises NBV 31 December 2019</t>
  </si>
  <si>
    <t>Fixtures &amp; Fittings NBV 31 December 2019</t>
  </si>
  <si>
    <t>Computer Equipment NBV 31 December 2019</t>
  </si>
  <si>
    <t>Leasehold improvements 31 December 2019</t>
  </si>
  <si>
    <t>Removal Cork</t>
  </si>
  <si>
    <t>Removal Dublin</t>
  </si>
  <si>
    <t>M Barnard Exps</t>
  </si>
  <si>
    <t>DRHE Salaries</t>
  </si>
  <si>
    <t>Fiona Barry exps</t>
  </si>
  <si>
    <t>Management Accounts to 31 December 2019</t>
  </si>
  <si>
    <t>Balance as per Bank Statement 31 December 2019</t>
  </si>
  <si>
    <t>Balance as per Bank statement 31 December 2019</t>
  </si>
  <si>
    <t>Balance as per Bank statement at 1 December 2019</t>
  </si>
  <si>
    <t>SHCPP</t>
  </si>
  <si>
    <t xml:space="preserve">Projects </t>
  </si>
</sst>
</file>

<file path=xl/styles.xml><?xml version="1.0" encoding="utf-8"?>
<styleSheet xmlns="http://schemas.openxmlformats.org/spreadsheetml/2006/main">
  <numFmts count="37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€&quot;#,##0;\-&quot;€&quot;#,##0"/>
    <numFmt numFmtId="171" formatCode="&quot;€&quot;#,##0;[Red]\-&quot;€&quot;#,##0"/>
    <numFmt numFmtId="172" formatCode="&quot;€&quot;#,##0.00;\-&quot;€&quot;#,##0.00"/>
    <numFmt numFmtId="173" formatCode="&quot;€&quot;#,##0.00;[Red]\-&quot;€&quot;#,##0.00"/>
    <numFmt numFmtId="174" formatCode="_-&quot;€&quot;* #,##0_-;\-&quot;€&quot;* #,##0_-;_-&quot;€&quot;* &quot;-&quot;_-;_-@_-"/>
    <numFmt numFmtId="175" formatCode="_-* #,##0_-;\-* #,##0_-;_-* &quot;-&quot;_-;_-@_-"/>
    <numFmt numFmtId="176" formatCode="_-&quot;€&quot;* #,##0.00_-;\-&quot;€&quot;* #,##0.00_-;_-&quot;€&quot;* &quot;-&quot;??_-;_-@_-"/>
    <numFmt numFmtId="177" formatCode="_-* #,##0.00_-;\-* #,##0.00_-;_-* &quot;-&quot;??_-;_-@_-"/>
    <numFmt numFmtId="178" formatCode="_-* #,##0.0_-;\-* #,##0.0_-;_-* &quot;-&quot;??_-;_-@_-"/>
    <numFmt numFmtId="179" formatCode="_-* #,##0_-;\-* #,##0_-;_-* &quot;-&quot;??_-;_-@_-"/>
    <numFmt numFmtId="180" formatCode="#,##0;\(#,##0\)"/>
    <numFmt numFmtId="181" formatCode="_-* #,##0.0000_-;\-* #,##0.0000_-;_-* &quot;-&quot;????_-;_-@_-"/>
    <numFmt numFmtId="182" formatCode="&quot;Yes&quot;;&quot;Yes&quot;;&quot;No&quot;"/>
    <numFmt numFmtId="183" formatCode="_-* #,##0_-;\(#,##0\);_-* &quot;-&quot;??_-;_-@_-"/>
    <numFmt numFmtId="184" formatCode="&quot;True&quot;;&quot;True&quot;;&quot;False&quot;"/>
    <numFmt numFmtId="185" formatCode="_-&quot;£&quot;* #,##0_-;\-&quot;£&quot;* #,##0_-;_-&quot;£&quot;* &quot;-&quot;_-;_-@_-"/>
    <numFmt numFmtId="186" formatCode="dd/mm/yy;@"/>
    <numFmt numFmtId="187" formatCode="_(* #,##0_);_(* \(#,##0\);_(* &quot;-&quot;??_);_(@_)"/>
    <numFmt numFmtId="188" formatCode="d\-mmm\-yyyy"/>
    <numFmt numFmtId="189" formatCode="[$-1809]dd\ mmmm\ yyyy"/>
    <numFmt numFmtId="190" formatCode="_-* #,##0.000_-;\-* #,##0.000_-;_-* &quot;-&quot;??_-;_-@_-"/>
    <numFmt numFmtId="191" formatCode="_-* #,##0.0000_-;\-* #,##0.0000_-;_-* &quot;-&quot;??_-;_-@_-"/>
    <numFmt numFmtId="192" formatCode="_-* #,##0.0_-;\-* #,##0.0_-;_-* &quot;-&quot;?_-;_-@_-"/>
  </numFmts>
  <fonts count="4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b/>
      <u val="single"/>
      <sz val="10"/>
      <name val="Tahoma"/>
      <family val="2"/>
    </font>
    <font>
      <sz val="11"/>
      <color indexed="8"/>
      <name val="Calibri"/>
      <family val="2"/>
    </font>
    <font>
      <sz val="11"/>
      <color indexed="22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22"/>
      <name val="Calibri"/>
      <family val="2"/>
    </font>
    <font>
      <sz val="10"/>
      <color indexed="8"/>
      <name val="Tahoma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name val="Tahoma"/>
      <family val="2"/>
    </font>
    <font>
      <b/>
      <sz val="14"/>
      <name val="Tahoma"/>
      <family val="2"/>
    </font>
    <font>
      <b/>
      <sz val="10"/>
      <color indexed="22"/>
      <name val="Tahoma"/>
      <family val="2"/>
    </font>
    <font>
      <b/>
      <i/>
      <sz val="10"/>
      <color indexed="22"/>
      <name val="Tahoma"/>
      <family val="2"/>
    </font>
    <font>
      <b/>
      <u val="single"/>
      <sz val="14"/>
      <name val="Tahoma"/>
      <family val="2"/>
    </font>
    <font>
      <u val="single"/>
      <sz val="14"/>
      <name val="Tahoma"/>
      <family val="2"/>
    </font>
    <font>
      <sz val="14"/>
      <name val="Tahoma"/>
      <family val="2"/>
    </font>
    <font>
      <u val="single"/>
      <sz val="14"/>
      <name val="Arial"/>
      <family val="2"/>
    </font>
    <font>
      <sz val="14"/>
      <name val="Arial"/>
      <family val="2"/>
    </font>
    <font>
      <b/>
      <u val="single"/>
      <sz val="10"/>
      <name val="Arial"/>
      <family val="2"/>
    </font>
    <font>
      <u val="singleAccounting"/>
      <sz val="10"/>
      <name val="Tahoma"/>
      <family val="2"/>
    </font>
    <font>
      <b/>
      <u val="single"/>
      <sz val="12"/>
      <name val="Tahoma"/>
      <family val="2"/>
    </font>
    <font>
      <u val="single"/>
      <sz val="10"/>
      <name val="Tahoma"/>
      <family val="2"/>
    </font>
    <font>
      <sz val="12"/>
      <name val="Arial"/>
      <family val="2"/>
    </font>
    <font>
      <sz val="10"/>
      <color indexed="22"/>
      <name val="Tahoma"/>
      <family val="2"/>
    </font>
    <font>
      <sz val="10"/>
      <color theme="0"/>
      <name val="Tahoma"/>
      <family val="2"/>
    </font>
  </fonts>
  <fills count="23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1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2" borderId="0" applyNumberFormat="0" applyBorder="0" applyAlignment="0" applyProtection="0"/>
    <xf numFmtId="0" fontId="6" fillId="5" borderId="0" applyNumberFormat="0" applyBorder="0" applyAlignment="0" applyProtection="0"/>
    <xf numFmtId="0" fontId="6" fillId="3" borderId="0" applyNumberFormat="0" applyBorder="0" applyAlignment="0" applyProtection="0"/>
    <xf numFmtId="0" fontId="6" fillId="2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2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2" borderId="0" applyNumberFormat="0" applyBorder="0" applyAlignment="0" applyProtection="0"/>
    <xf numFmtId="0" fontId="7" fillId="9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3" borderId="0" applyNumberFormat="0" applyBorder="0" applyAlignment="0" applyProtection="0"/>
    <xf numFmtId="0" fontId="8" fillId="14" borderId="0" applyNumberFormat="0" applyBorder="0" applyAlignment="0" applyProtection="0"/>
    <xf numFmtId="0" fontId="9" fillId="2" borderId="1" applyNumberFormat="0" applyAlignment="0" applyProtection="0"/>
    <xf numFmtId="0" fontId="10" fillId="15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6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86" fontId="0" fillId="0" borderId="0">
      <alignment/>
      <protection/>
    </xf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6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3" borderId="1" applyNumberFormat="0" applyAlignment="0" applyProtection="0"/>
    <xf numFmtId="0" fontId="20" fillId="0" borderId="6" applyNumberFormat="0" applyFill="0" applyAlignment="0" applyProtection="0"/>
    <xf numFmtId="0" fontId="21" fillId="7" borderId="0" applyNumberFormat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1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6" fillId="0" borderId="0">
      <alignment/>
      <protection/>
    </xf>
    <xf numFmtId="0" fontId="11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6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3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4" borderId="7" applyNumberFormat="0" applyFont="0" applyAlignment="0" applyProtection="0"/>
    <xf numFmtId="0" fontId="23" fillId="2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23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179" fontId="4" fillId="0" borderId="0" xfId="42" applyNumberFormat="1" applyFont="1" applyAlignment="1">
      <alignment horizontal="center"/>
    </xf>
    <xf numFmtId="0" fontId="5" fillId="0" borderId="0" xfId="0" applyFont="1" applyAlignment="1">
      <alignment/>
    </xf>
    <xf numFmtId="179" fontId="3" fillId="0" borderId="0" xfId="42" applyNumberFormat="1" applyFont="1" applyAlignment="1">
      <alignment/>
    </xf>
    <xf numFmtId="0" fontId="4" fillId="0" borderId="0" xfId="0" applyFont="1" applyAlignment="1">
      <alignment/>
    </xf>
    <xf numFmtId="179" fontId="4" fillId="0" borderId="10" xfId="42" applyNumberFormat="1" applyFont="1" applyBorder="1" applyAlignment="1">
      <alignment/>
    </xf>
    <xf numFmtId="179" fontId="3" fillId="0" borderId="0" xfId="0" applyNumberFormat="1" applyFont="1" applyAlignment="1">
      <alignment/>
    </xf>
    <xf numFmtId="179" fontId="4" fillId="0" borderId="11" xfId="42" applyNumberFormat="1" applyFont="1" applyBorder="1" applyAlignment="1">
      <alignment/>
    </xf>
    <xf numFmtId="180" fontId="4" fillId="0" borderId="11" xfId="42" applyNumberFormat="1" applyFont="1" applyBorder="1" applyAlignment="1">
      <alignment/>
    </xf>
    <xf numFmtId="180" fontId="3" fillId="0" borderId="0" xfId="42" applyNumberFormat="1" applyFont="1" applyAlignment="1">
      <alignment/>
    </xf>
    <xf numFmtId="0" fontId="3" fillId="0" borderId="0" xfId="0" applyFont="1" applyFill="1" applyBorder="1" applyAlignment="1">
      <alignment/>
    </xf>
    <xf numFmtId="179" fontId="3" fillId="0" borderId="0" xfId="42" applyNumberFormat="1" applyFont="1" applyFill="1" applyBorder="1" applyAlignment="1">
      <alignment/>
    </xf>
    <xf numFmtId="0" fontId="30" fillId="0" borderId="0" xfId="116" applyFont="1" applyFill="1" applyBorder="1" applyAlignment="1">
      <alignment horizontal="center"/>
      <protection/>
    </xf>
    <xf numFmtId="0" fontId="27" fillId="0" borderId="12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0" fontId="27" fillId="0" borderId="13" xfId="0" applyFont="1" applyFill="1" applyBorder="1" applyAlignment="1">
      <alignment horizontal="center"/>
    </xf>
    <xf numFmtId="0" fontId="27" fillId="0" borderId="14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179" fontId="3" fillId="0" borderId="10" xfId="42" applyNumberFormat="1" applyFont="1" applyBorder="1" applyAlignment="1">
      <alignment/>
    </xf>
    <xf numFmtId="0" fontId="4" fillId="0" borderId="0" xfId="116" applyFont="1" applyFill="1" applyBorder="1">
      <alignment/>
      <protection/>
    </xf>
    <xf numFmtId="187" fontId="3" fillId="0" borderId="15" xfId="42" applyNumberFormat="1" applyFont="1" applyFill="1" applyBorder="1" applyAlignment="1">
      <alignment/>
    </xf>
    <xf numFmtId="187" fontId="3" fillId="0" borderId="0" xfId="42" applyNumberFormat="1" applyFont="1" applyFill="1" applyBorder="1" applyAlignment="1">
      <alignment/>
    </xf>
    <xf numFmtId="0" fontId="3" fillId="0" borderId="0" xfId="116" applyFont="1" applyFill="1" applyBorder="1">
      <alignment/>
      <protection/>
    </xf>
    <xf numFmtId="0" fontId="3" fillId="0" borderId="0" xfId="116" applyFont="1" applyBorder="1">
      <alignment/>
      <protection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Fill="1" applyBorder="1" applyAlignment="1">
      <alignment horizontal="left" vertical="center" wrapText="1"/>
    </xf>
    <xf numFmtId="188" fontId="4" fillId="0" borderId="0" xfId="0" applyNumberFormat="1" applyFont="1" applyBorder="1" applyAlignment="1">
      <alignment/>
    </xf>
    <xf numFmtId="0" fontId="4" fillId="0" borderId="0" xfId="0" applyFont="1" applyFill="1" applyBorder="1" applyAlignment="1">
      <alignment horizontal="right"/>
    </xf>
    <xf numFmtId="0" fontId="29" fillId="0" borderId="0" xfId="0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horizontal="center"/>
    </xf>
    <xf numFmtId="0" fontId="3" fillId="0" borderId="0" xfId="115" applyFont="1">
      <alignment/>
      <protection/>
    </xf>
    <xf numFmtId="175" fontId="3" fillId="0" borderId="0" xfId="0" applyNumberFormat="1" applyFont="1" applyFill="1" applyBorder="1" applyAlignment="1">
      <alignment/>
    </xf>
    <xf numFmtId="179" fontId="4" fillId="0" borderId="11" xfId="42" applyNumberFormat="1" applyFont="1" applyFill="1" applyBorder="1" applyAlignment="1">
      <alignment horizontal="right"/>
    </xf>
    <xf numFmtId="0" fontId="29" fillId="0" borderId="0" xfId="0" applyFont="1" applyFill="1" applyBorder="1" applyAlignment="1">
      <alignment/>
    </xf>
    <xf numFmtId="179" fontId="4" fillId="0" borderId="0" xfId="42" applyNumberFormat="1" applyFont="1" applyFill="1" applyBorder="1" applyAlignment="1">
      <alignment horizontal="right"/>
    </xf>
    <xf numFmtId="179" fontId="4" fillId="2" borderId="14" xfId="42" applyNumberFormat="1" applyFont="1" applyFill="1" applyBorder="1" applyAlignment="1">
      <alignment horizontal="center"/>
    </xf>
    <xf numFmtId="179" fontId="4" fillId="2" borderId="16" xfId="42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17" fontId="0" fillId="0" borderId="0" xfId="0" applyNumberFormat="1" applyAlignment="1">
      <alignment/>
    </xf>
    <xf numFmtId="179" fontId="4" fillId="0" borderId="0" xfId="42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2" borderId="17" xfId="0" applyFont="1" applyFill="1" applyBorder="1" applyAlignment="1">
      <alignment/>
    </xf>
    <xf numFmtId="179" fontId="4" fillId="2" borderId="18" xfId="42" applyNumberFormat="1" applyFont="1" applyFill="1" applyBorder="1" applyAlignment="1">
      <alignment horizontal="center"/>
    </xf>
    <xf numFmtId="0" fontId="4" fillId="2" borderId="19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179" fontId="4" fillId="2" borderId="17" xfId="42" applyNumberFormat="1" applyFont="1" applyFill="1" applyBorder="1" applyAlignment="1">
      <alignment horizontal="center"/>
    </xf>
    <xf numFmtId="179" fontId="4" fillId="2" borderId="19" xfId="42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center" wrapText="1"/>
    </xf>
    <xf numFmtId="0" fontId="4" fillId="2" borderId="20" xfId="0" applyFont="1" applyFill="1" applyBorder="1" applyAlignment="1">
      <alignment horizontal="center"/>
    </xf>
    <xf numFmtId="0" fontId="4" fillId="0" borderId="0" xfId="115" applyFont="1">
      <alignment/>
      <protection/>
    </xf>
    <xf numFmtId="0" fontId="4" fillId="2" borderId="21" xfId="0" applyFont="1" applyFill="1" applyBorder="1" applyAlignment="1">
      <alignment horizontal="center"/>
    </xf>
    <xf numFmtId="179" fontId="0" fillId="0" borderId="0" xfId="42" applyNumberFormat="1" applyFont="1" applyAlignment="1">
      <alignment/>
    </xf>
    <xf numFmtId="179" fontId="0" fillId="0" borderId="0" xfId="0" applyNumberFormat="1" applyAlignment="1">
      <alignment/>
    </xf>
    <xf numFmtId="179" fontId="0" fillId="17" borderId="0" xfId="0" applyNumberFormat="1" applyFill="1" applyAlignment="1">
      <alignment/>
    </xf>
    <xf numFmtId="0" fontId="3" fillId="0" borderId="0" xfId="0" applyFont="1" applyFill="1" applyAlignment="1">
      <alignment/>
    </xf>
    <xf numFmtId="179" fontId="3" fillId="0" borderId="0" xfId="42" applyNumberFormat="1" applyFont="1" applyFill="1" applyAlignment="1">
      <alignment/>
    </xf>
    <xf numFmtId="0" fontId="4" fillId="0" borderId="0" xfId="116" applyFont="1" applyFill="1" applyBorder="1" applyAlignment="1">
      <alignment horizontal="center"/>
      <protection/>
    </xf>
    <xf numFmtId="0" fontId="36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179" fontId="0" fillId="0" borderId="0" xfId="42" applyNumberFormat="1" applyFont="1" applyFill="1" applyAlignment="1">
      <alignment/>
    </xf>
    <xf numFmtId="0" fontId="36" fillId="0" borderId="0" xfId="0" applyFont="1" applyFill="1" applyAlignment="1">
      <alignment/>
    </xf>
    <xf numFmtId="0" fontId="0" fillId="0" borderId="22" xfId="0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22" xfId="0" applyFont="1" applyFill="1" applyBorder="1" applyAlignment="1">
      <alignment wrapText="1"/>
    </xf>
    <xf numFmtId="0" fontId="0" fillId="0" borderId="22" xfId="0" applyFont="1" applyFill="1" applyBorder="1" applyAlignment="1">
      <alignment/>
    </xf>
    <xf numFmtId="0" fontId="0" fillId="0" borderId="22" xfId="0" applyFont="1" applyFill="1" applyBorder="1" applyAlignment="1">
      <alignment wrapText="1"/>
    </xf>
    <xf numFmtId="179" fontId="0" fillId="0" borderId="22" xfId="42" applyNumberFormat="1" applyFont="1" applyFill="1" applyBorder="1" applyAlignment="1">
      <alignment/>
    </xf>
    <xf numFmtId="0" fontId="1" fillId="0" borderId="0" xfId="0" applyFont="1" applyFill="1" applyAlignment="1">
      <alignment/>
    </xf>
    <xf numFmtId="179" fontId="1" fillId="0" borderId="0" xfId="42" applyNumberFormat="1" applyFont="1" applyFill="1" applyAlignment="1">
      <alignment/>
    </xf>
    <xf numFmtId="0" fontId="1" fillId="0" borderId="0" xfId="0" applyFont="1" applyAlignment="1">
      <alignment horizontal="center" wrapText="1"/>
    </xf>
    <xf numFmtId="179" fontId="0" fillId="18" borderId="22" xfId="42" applyNumberFormat="1" applyFont="1" applyFill="1" applyBorder="1" applyAlignment="1">
      <alignment wrapText="1"/>
    </xf>
    <xf numFmtId="179" fontId="0" fillId="18" borderId="22" xfId="42" applyNumberFormat="1" applyFont="1" applyFill="1" applyBorder="1" applyAlignment="1">
      <alignment/>
    </xf>
    <xf numFmtId="179" fontId="0" fillId="18" borderId="22" xfId="42" applyNumberFormat="1" applyFont="1" applyFill="1" applyBorder="1" applyAlignment="1">
      <alignment/>
    </xf>
    <xf numFmtId="0" fontId="0" fillId="18" borderId="22" xfId="0" applyFill="1" applyBorder="1" applyAlignment="1">
      <alignment/>
    </xf>
    <xf numFmtId="9" fontId="3" fillId="0" borderId="0" xfId="119" applyFont="1" applyAlignment="1">
      <alignment/>
    </xf>
    <xf numFmtId="9" fontId="3" fillId="0" borderId="0" xfId="119" applyFont="1" applyAlignment="1">
      <alignment horizontal="right"/>
    </xf>
    <xf numFmtId="9" fontId="4" fillId="0" borderId="10" xfId="119" applyFont="1" applyBorder="1" applyAlignment="1">
      <alignment/>
    </xf>
    <xf numFmtId="9" fontId="4" fillId="0" borderId="11" xfId="119" applyFont="1" applyBorder="1" applyAlignment="1">
      <alignment/>
    </xf>
    <xf numFmtId="179" fontId="4" fillId="0" borderId="10" xfId="42" applyNumberFormat="1" applyFont="1" applyFill="1" applyBorder="1" applyAlignment="1">
      <alignment/>
    </xf>
    <xf numFmtId="0" fontId="3" fillId="19" borderId="17" xfId="0" applyFont="1" applyFill="1" applyBorder="1" applyAlignment="1">
      <alignment/>
    </xf>
    <xf numFmtId="0" fontId="4" fillId="19" borderId="18" xfId="0" applyFont="1" applyFill="1" applyBorder="1" applyAlignment="1">
      <alignment horizontal="center"/>
    </xf>
    <xf numFmtId="0" fontId="4" fillId="19" borderId="19" xfId="0" applyFont="1" applyFill="1" applyBorder="1" applyAlignment="1">
      <alignment horizontal="center"/>
    </xf>
    <xf numFmtId="179" fontId="3" fillId="0" borderId="15" xfId="42" applyNumberFormat="1" applyFont="1" applyFill="1" applyBorder="1" applyAlignment="1">
      <alignment/>
    </xf>
    <xf numFmtId="180" fontId="3" fillId="0" borderId="0" xfId="42" applyNumberFormat="1" applyFont="1" applyFill="1" applyAlignment="1">
      <alignment/>
    </xf>
    <xf numFmtId="179" fontId="4" fillId="2" borderId="18" xfId="42" applyNumberFormat="1" applyFont="1" applyFill="1" applyBorder="1" applyAlignment="1">
      <alignment horizontal="center" wrapText="1"/>
    </xf>
    <xf numFmtId="0" fontId="4" fillId="2" borderId="18" xfId="0" applyFont="1" applyFill="1" applyBorder="1" applyAlignment="1">
      <alignment horizontal="center" wrapText="1"/>
    </xf>
    <xf numFmtId="4" fontId="3" fillId="0" borderId="0" xfId="0" applyNumberFormat="1" applyFont="1" applyAlignment="1">
      <alignment/>
    </xf>
    <xf numFmtId="4" fontId="3" fillId="0" borderId="0" xfId="0" applyNumberFormat="1" applyFont="1" applyFill="1" applyAlignment="1">
      <alignment/>
    </xf>
    <xf numFmtId="179" fontId="3" fillId="0" borderId="0" xfId="0" applyNumberFormat="1" applyFont="1" applyFill="1" applyAlignment="1">
      <alignment/>
    </xf>
    <xf numFmtId="180" fontId="4" fillId="0" borderId="11" xfId="42" applyNumberFormat="1" applyFont="1" applyFill="1" applyBorder="1" applyAlignment="1">
      <alignment/>
    </xf>
    <xf numFmtId="180" fontId="3" fillId="0" borderId="0" xfId="0" applyNumberFormat="1" applyFont="1" applyFill="1" applyAlignment="1">
      <alignment/>
    </xf>
    <xf numFmtId="180" fontId="4" fillId="0" borderId="10" xfId="42" applyNumberFormat="1" applyFont="1" applyFill="1" applyBorder="1" applyAlignment="1">
      <alignment/>
    </xf>
    <xf numFmtId="180" fontId="4" fillId="0" borderId="0" xfId="0" applyNumberFormat="1" applyFont="1" applyFill="1" applyAlignment="1">
      <alignment/>
    </xf>
    <xf numFmtId="180" fontId="4" fillId="0" borderId="0" xfId="42" applyNumberFormat="1" applyFont="1" applyFill="1" applyBorder="1" applyAlignment="1">
      <alignment/>
    </xf>
    <xf numFmtId="180" fontId="3" fillId="0" borderId="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180" fontId="5" fillId="0" borderId="0" xfId="0" applyNumberFormat="1" applyFont="1" applyFill="1" applyAlignment="1">
      <alignment/>
    </xf>
    <xf numFmtId="187" fontId="4" fillId="0" borderId="23" xfId="42" applyNumberFormat="1" applyFont="1" applyFill="1" applyBorder="1" applyAlignment="1">
      <alignment/>
    </xf>
    <xf numFmtId="187" fontId="37" fillId="0" borderId="0" xfId="42" applyNumberFormat="1" applyFont="1" applyFill="1" applyBorder="1" applyAlignment="1">
      <alignment/>
    </xf>
    <xf numFmtId="3" fontId="3" fillId="0" borderId="0" xfId="0" applyNumberFormat="1" applyFont="1" applyAlignment="1">
      <alignment/>
    </xf>
    <xf numFmtId="179" fontId="3" fillId="0" borderId="10" xfId="42" applyNumberFormat="1" applyFont="1" applyFill="1" applyBorder="1" applyAlignment="1">
      <alignment/>
    </xf>
    <xf numFmtId="179" fontId="4" fillId="0" borderId="0" xfId="42" applyNumberFormat="1" applyFont="1" applyFill="1" applyBorder="1" applyAlignment="1">
      <alignment/>
    </xf>
    <xf numFmtId="179" fontId="4" fillId="0" borderId="0" xfId="42" applyNumberFormat="1" applyFont="1" applyFill="1" applyAlignment="1">
      <alignment/>
    </xf>
    <xf numFmtId="0" fontId="3" fillId="0" borderId="0" xfId="115" applyFont="1" applyFill="1">
      <alignment/>
      <protection/>
    </xf>
    <xf numFmtId="0" fontId="4" fillId="0" borderId="0" xfId="115" applyFont="1" applyFill="1">
      <alignment/>
      <protection/>
    </xf>
    <xf numFmtId="0" fontId="4" fillId="0" borderId="0" xfId="0" applyFont="1" applyFill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27" fillId="0" borderId="24" xfId="0" applyFont="1" applyFill="1" applyBorder="1" applyAlignment="1">
      <alignment horizontal="center"/>
    </xf>
    <xf numFmtId="0" fontId="27" fillId="0" borderId="25" xfId="0" applyFont="1" applyFill="1" applyBorder="1" applyAlignment="1">
      <alignment horizontal="center"/>
    </xf>
    <xf numFmtId="0" fontId="27" fillId="0" borderId="26" xfId="0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3" fillId="0" borderId="25" xfId="0" applyFont="1" applyBorder="1" applyAlignment="1">
      <alignment/>
    </xf>
    <xf numFmtId="0" fontId="0" fillId="0" borderId="0" xfId="0" applyAlignment="1">
      <alignment horizontal="center" vertical="center"/>
    </xf>
    <xf numFmtId="179" fontId="4" fillId="0" borderId="0" xfId="42" applyNumberFormat="1" applyFont="1" applyFill="1" applyAlignment="1">
      <alignment horizontal="center"/>
    </xf>
    <xf numFmtId="0" fontId="42" fillId="0" borderId="0" xfId="0" applyFont="1" applyFill="1" applyAlignment="1">
      <alignment/>
    </xf>
    <xf numFmtId="180" fontId="3" fillId="0" borderId="0" xfId="42" applyNumberFormat="1" applyFont="1" applyFill="1" applyBorder="1" applyAlignment="1">
      <alignment/>
    </xf>
    <xf numFmtId="180" fontId="3" fillId="0" borderId="0" xfId="42" applyNumberFormat="1" applyFont="1" applyFill="1" applyAlignment="1">
      <alignment horizontal="right"/>
    </xf>
    <xf numFmtId="9" fontId="3" fillId="0" borderId="0" xfId="119" applyFont="1" applyFill="1" applyAlignment="1">
      <alignment/>
    </xf>
    <xf numFmtId="179" fontId="4" fillId="19" borderId="17" xfId="42" applyNumberFormat="1" applyFont="1" applyFill="1" applyBorder="1" applyAlignment="1">
      <alignment horizontal="center"/>
    </xf>
    <xf numFmtId="17" fontId="4" fillId="19" borderId="18" xfId="42" applyNumberFormat="1" applyFont="1" applyFill="1" applyBorder="1" applyAlignment="1">
      <alignment horizontal="center"/>
    </xf>
    <xf numFmtId="179" fontId="4" fillId="19" borderId="19" xfId="42" applyNumberFormat="1" applyFont="1" applyFill="1" applyBorder="1" applyAlignment="1">
      <alignment horizontal="center"/>
    </xf>
    <xf numFmtId="179" fontId="3" fillId="19" borderId="17" xfId="0" applyNumberFormat="1" applyFont="1" applyFill="1" applyBorder="1" applyAlignment="1">
      <alignment horizontal="center"/>
    </xf>
    <xf numFmtId="179" fontId="4" fillId="19" borderId="18" xfId="0" applyNumberFormat="1" applyFont="1" applyFill="1" applyBorder="1" applyAlignment="1">
      <alignment horizontal="center"/>
    </xf>
    <xf numFmtId="17" fontId="4" fillId="19" borderId="17" xfId="42" applyNumberFormat="1" applyFont="1" applyFill="1" applyBorder="1" applyAlignment="1">
      <alignment horizontal="center"/>
    </xf>
    <xf numFmtId="17" fontId="4" fillId="19" borderId="19" xfId="42" applyNumberFormat="1" applyFont="1" applyFill="1" applyBorder="1" applyAlignment="1">
      <alignment horizontal="center"/>
    </xf>
    <xf numFmtId="179" fontId="3" fillId="0" borderId="0" xfId="42" applyNumberFormat="1" applyFont="1" applyFill="1" applyBorder="1" applyAlignment="1">
      <alignment horizontal="right"/>
    </xf>
    <xf numFmtId="0" fontId="3" fillId="0" borderId="0" xfId="0" applyFont="1" applyFill="1" applyAlignment="1">
      <alignment horizontal="left"/>
    </xf>
    <xf numFmtId="179" fontId="4" fillId="0" borderId="11" xfId="42" applyNumberFormat="1" applyFont="1" applyFill="1" applyBorder="1" applyAlignment="1">
      <alignment/>
    </xf>
    <xf numFmtId="177" fontId="3" fillId="0" borderId="0" xfId="0" applyNumberFormat="1" applyFont="1" applyFill="1" applyAlignment="1">
      <alignment/>
    </xf>
    <xf numFmtId="179" fontId="3" fillId="0" borderId="0" xfId="42" applyNumberFormat="1" applyFont="1" applyFill="1" applyAlignment="1">
      <alignment horizontal="right"/>
    </xf>
    <xf numFmtId="179" fontId="4" fillId="19" borderId="17" xfId="42" applyNumberFormat="1" applyFont="1" applyFill="1" applyBorder="1" applyAlignment="1">
      <alignment horizontal="right"/>
    </xf>
    <xf numFmtId="17" fontId="4" fillId="19" borderId="18" xfId="42" applyNumberFormat="1" applyFont="1" applyFill="1" applyBorder="1" applyAlignment="1">
      <alignment horizontal="right"/>
    </xf>
    <xf numFmtId="179" fontId="4" fillId="19" borderId="19" xfId="42" applyNumberFormat="1" applyFont="1" applyFill="1" applyBorder="1" applyAlignment="1">
      <alignment horizontal="right"/>
    </xf>
    <xf numFmtId="180" fontId="4" fillId="0" borderId="10" xfId="42" applyNumberFormat="1" applyFont="1" applyFill="1" applyBorder="1" applyAlignment="1">
      <alignment horizontal="right"/>
    </xf>
    <xf numFmtId="179" fontId="3" fillId="0" borderId="0" xfId="42" applyNumberFormat="1" applyFont="1" applyFill="1" applyAlignment="1">
      <alignment horizontal="center"/>
    </xf>
    <xf numFmtId="187" fontId="3" fillId="0" borderId="0" xfId="0" applyNumberFormat="1" applyFont="1" applyFill="1" applyAlignment="1">
      <alignment/>
    </xf>
    <xf numFmtId="180" fontId="4" fillId="0" borderId="11" xfId="42" applyNumberFormat="1" applyFont="1" applyFill="1" applyBorder="1" applyAlignment="1">
      <alignment horizontal="right"/>
    </xf>
    <xf numFmtId="179" fontId="4" fillId="2" borderId="17" xfId="42" applyNumberFormat="1" applyFont="1" applyFill="1" applyBorder="1" applyAlignment="1">
      <alignment horizontal="center" wrapText="1"/>
    </xf>
    <xf numFmtId="179" fontId="4" fillId="2" borderId="19" xfId="42" applyNumberFormat="1" applyFont="1" applyFill="1" applyBorder="1" applyAlignment="1">
      <alignment horizontal="center" wrapText="1"/>
    </xf>
    <xf numFmtId="0" fontId="4" fillId="0" borderId="18" xfId="0" applyFont="1" applyFill="1" applyBorder="1" applyAlignment="1">
      <alignment horizontal="center" wrapText="1"/>
    </xf>
    <xf numFmtId="0" fontId="3" fillId="0" borderId="17" xfId="0" applyFont="1" applyFill="1" applyBorder="1" applyAlignment="1">
      <alignment/>
    </xf>
    <xf numFmtId="0" fontId="4" fillId="0" borderId="19" xfId="0" applyFont="1" applyFill="1" applyBorder="1" applyAlignment="1">
      <alignment horizontal="center"/>
    </xf>
    <xf numFmtId="179" fontId="4" fillId="0" borderId="14" xfId="42" applyNumberFormat="1" applyFont="1" applyFill="1" applyBorder="1" applyAlignment="1">
      <alignment horizontal="center" wrapText="1"/>
    </xf>
    <xf numFmtId="3" fontId="3" fillId="0" borderId="0" xfId="0" applyNumberFormat="1" applyFont="1" applyFill="1" applyBorder="1" applyAlignment="1">
      <alignment horizontal="right"/>
    </xf>
    <xf numFmtId="3" fontId="3" fillId="0" borderId="0" xfId="0" applyNumberFormat="1" applyFont="1" applyFill="1" applyAlignment="1">
      <alignment horizontal="right"/>
    </xf>
    <xf numFmtId="3" fontId="3" fillId="0" borderId="0" xfId="42" applyNumberFormat="1" applyFont="1" applyFill="1" applyAlignment="1">
      <alignment horizontal="right"/>
    </xf>
    <xf numFmtId="0" fontId="5" fillId="0" borderId="0" xfId="0" applyFont="1" applyFill="1" applyBorder="1" applyAlignment="1">
      <alignment/>
    </xf>
    <xf numFmtId="179" fontId="3" fillId="0" borderId="0" xfId="0" applyNumberFormat="1" applyFont="1" applyFill="1" applyBorder="1" applyAlignment="1">
      <alignment horizontal="left" vertical="center" wrapText="1"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 horizontal="center"/>
    </xf>
    <xf numFmtId="4" fontId="0" fillId="0" borderId="11" xfId="0" applyNumberFormat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3" fontId="0" fillId="0" borderId="11" xfId="0" applyNumberFormat="1" applyBorder="1" applyAlignment="1">
      <alignment/>
    </xf>
    <xf numFmtId="3" fontId="1" fillId="0" borderId="0" xfId="0" applyNumberFormat="1" applyFont="1" applyAlignment="1">
      <alignment horizontal="center"/>
    </xf>
    <xf numFmtId="180" fontId="4" fillId="20" borderId="10" xfId="42" applyNumberFormat="1" applyFont="1" applyFill="1" applyBorder="1" applyAlignment="1">
      <alignment/>
    </xf>
    <xf numFmtId="180" fontId="4" fillId="20" borderId="10" xfId="42" applyNumberFormat="1" applyFont="1" applyFill="1" applyBorder="1" applyAlignment="1">
      <alignment horizontal="right"/>
    </xf>
    <xf numFmtId="180" fontId="4" fillId="20" borderId="11" xfId="42" applyNumberFormat="1" applyFont="1" applyFill="1" applyBorder="1" applyAlignment="1">
      <alignment/>
    </xf>
    <xf numFmtId="179" fontId="4" fillId="20" borderId="10" xfId="42" applyNumberFormat="1" applyFont="1" applyFill="1" applyBorder="1" applyAlignment="1">
      <alignment/>
    </xf>
    <xf numFmtId="179" fontId="3" fillId="21" borderId="0" xfId="42" applyNumberFormat="1" applyFont="1" applyFill="1" applyAlignment="1">
      <alignment/>
    </xf>
    <xf numFmtId="179" fontId="3" fillId="22" borderId="0" xfId="42" applyNumberFormat="1" applyFont="1" applyFill="1" applyAlignment="1">
      <alignment/>
    </xf>
    <xf numFmtId="179" fontId="3" fillId="22" borderId="0" xfId="0" applyNumberFormat="1" applyFont="1" applyFill="1" applyAlignment="1">
      <alignment/>
    </xf>
    <xf numFmtId="0" fontId="3" fillId="22" borderId="0" xfId="0" applyFont="1" applyFill="1" applyAlignment="1">
      <alignment/>
    </xf>
    <xf numFmtId="179" fontId="4" fillId="22" borderId="0" xfId="42" applyNumberFormat="1" applyFont="1" applyFill="1" applyBorder="1" applyAlignment="1">
      <alignment/>
    </xf>
    <xf numFmtId="179" fontId="4" fillId="22" borderId="10" xfId="42" applyNumberFormat="1" applyFont="1" applyFill="1" applyBorder="1" applyAlignment="1">
      <alignment/>
    </xf>
    <xf numFmtId="179" fontId="3" fillId="22" borderId="26" xfId="42" applyNumberFormat="1" applyFont="1" applyFill="1" applyBorder="1" applyAlignment="1">
      <alignment/>
    </xf>
    <xf numFmtId="180" fontId="4" fillId="22" borderId="11" xfId="42" applyNumberFormat="1" applyFont="1" applyFill="1" applyBorder="1" applyAlignment="1">
      <alignment/>
    </xf>
    <xf numFmtId="179" fontId="4" fillId="22" borderId="11" xfId="42" applyNumberFormat="1" applyFont="1" applyFill="1" applyBorder="1" applyAlignment="1">
      <alignment/>
    </xf>
    <xf numFmtId="0" fontId="38" fillId="0" borderId="0" xfId="0" applyFont="1" applyFill="1" applyBorder="1" applyAlignment="1">
      <alignment horizontal="center"/>
    </xf>
    <xf numFmtId="0" fontId="40" fillId="0" borderId="0" xfId="0" applyFont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39" fillId="0" borderId="24" xfId="0" applyFont="1" applyBorder="1" applyAlignment="1">
      <alignment horizontal="center"/>
    </xf>
    <xf numFmtId="0" fontId="39" fillId="0" borderId="27" xfId="0" applyFont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39" fillId="0" borderId="0" xfId="0" applyFont="1" applyBorder="1" applyAlignment="1">
      <alignment horizontal="center"/>
    </xf>
    <xf numFmtId="0" fontId="39" fillId="0" borderId="28" xfId="0" applyFont="1" applyBorder="1" applyAlignment="1">
      <alignment horizontal="center"/>
    </xf>
    <xf numFmtId="0" fontId="28" fillId="0" borderId="12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0" fontId="33" fillId="0" borderId="0" xfId="0" applyFont="1" applyBorder="1" applyAlignment="1">
      <alignment horizontal="center"/>
    </xf>
    <xf numFmtId="0" fontId="33" fillId="0" borderId="28" xfId="0" applyFont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3" fillId="0" borderId="25" xfId="0" applyFont="1" applyBorder="1" applyAlignment="1">
      <alignment/>
    </xf>
    <xf numFmtId="0" fontId="3" fillId="0" borderId="16" xfId="0" applyFont="1" applyBorder="1" applyAlignment="1">
      <alignment/>
    </xf>
    <xf numFmtId="0" fontId="5" fillId="0" borderId="27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28" fillId="0" borderId="28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0" fontId="4" fillId="0" borderId="0" xfId="0" applyFont="1" applyFill="1" applyAlignment="1">
      <alignment wrapText="1"/>
    </xf>
    <xf numFmtId="177" fontId="4" fillId="2" borderId="13" xfId="42" applyFont="1" applyFill="1" applyBorder="1" applyAlignment="1">
      <alignment horizontal="center"/>
    </xf>
    <xf numFmtId="177" fontId="4" fillId="2" borderId="27" xfId="42" applyFont="1" applyFill="1" applyBorder="1" applyAlignment="1">
      <alignment horizontal="center"/>
    </xf>
    <xf numFmtId="15" fontId="4" fillId="2" borderId="12" xfId="42" applyNumberFormat="1" applyFont="1" applyFill="1" applyBorder="1" applyAlignment="1">
      <alignment horizontal="center"/>
    </xf>
    <xf numFmtId="177" fontId="4" fillId="2" borderId="28" xfId="42" applyFont="1" applyFill="1" applyBorder="1" applyAlignment="1">
      <alignment horizontal="center"/>
    </xf>
    <xf numFmtId="0" fontId="32" fillId="0" borderId="24" xfId="0" applyFont="1" applyFill="1" applyBorder="1" applyAlignment="1">
      <alignment horizontal="center"/>
    </xf>
    <xf numFmtId="0" fontId="32" fillId="0" borderId="27" xfId="0" applyFont="1" applyFill="1" applyBorder="1" applyAlignment="1">
      <alignment horizontal="center"/>
    </xf>
    <xf numFmtId="0" fontId="39" fillId="0" borderId="0" xfId="0" applyFont="1" applyFill="1" applyBorder="1" applyAlignment="1">
      <alignment horizontal="center"/>
    </xf>
    <xf numFmtId="0" fontId="39" fillId="0" borderId="28" xfId="0" applyFont="1" applyFill="1" applyBorder="1" applyAlignment="1">
      <alignment horizontal="center"/>
    </xf>
    <xf numFmtId="0" fontId="33" fillId="0" borderId="0" xfId="0" applyFont="1" applyFill="1" applyBorder="1" applyAlignment="1">
      <alignment horizontal="center"/>
    </xf>
    <xf numFmtId="0" fontId="33" fillId="0" borderId="28" xfId="0" applyFont="1" applyFill="1" applyBorder="1" applyAlignment="1">
      <alignment horizontal="center"/>
    </xf>
    <xf numFmtId="0" fontId="3" fillId="0" borderId="25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4" fillId="0" borderId="29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wrapText="1"/>
    </xf>
    <xf numFmtId="0" fontId="39" fillId="0" borderId="24" xfId="0" applyFont="1" applyFill="1" applyBorder="1" applyAlignment="1">
      <alignment horizontal="center"/>
    </xf>
    <xf numFmtId="0" fontId="39" fillId="0" borderId="27" xfId="0" applyFont="1" applyFill="1" applyBorder="1" applyAlignment="1">
      <alignment horizontal="center"/>
    </xf>
    <xf numFmtId="0" fontId="4" fillId="2" borderId="29" xfId="0" applyFont="1" applyFill="1" applyBorder="1" applyAlignment="1">
      <alignment horizontal="left" vertical="center" wrapText="1"/>
    </xf>
    <xf numFmtId="0" fontId="4" fillId="2" borderId="21" xfId="0" applyFont="1" applyFill="1" applyBorder="1" applyAlignment="1">
      <alignment horizontal="left" vertical="center" wrapText="1"/>
    </xf>
    <xf numFmtId="0" fontId="3" fillId="2" borderId="21" xfId="0" applyFont="1" applyFill="1" applyBorder="1" applyAlignment="1">
      <alignment wrapText="1"/>
    </xf>
    <xf numFmtId="0" fontId="31" fillId="0" borderId="13" xfId="0" applyFont="1" applyFill="1" applyBorder="1" applyAlignment="1">
      <alignment horizontal="center"/>
    </xf>
    <xf numFmtId="0" fontId="34" fillId="0" borderId="24" xfId="0" applyFont="1" applyBorder="1" applyAlignment="1">
      <alignment horizontal="center"/>
    </xf>
    <xf numFmtId="0" fontId="34" fillId="0" borderId="27" xfId="0" applyFont="1" applyBorder="1" applyAlignment="1">
      <alignment horizontal="center"/>
    </xf>
    <xf numFmtId="0" fontId="31" fillId="0" borderId="12" xfId="0" applyFont="1" applyFill="1" applyBorder="1" applyAlignment="1">
      <alignment horizontal="center"/>
    </xf>
    <xf numFmtId="0" fontId="34" fillId="0" borderId="0" xfId="0" applyFont="1" applyBorder="1" applyAlignment="1">
      <alignment horizontal="center"/>
    </xf>
    <xf numFmtId="0" fontId="34" fillId="0" borderId="28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35" fillId="0" borderId="28" xfId="0" applyFont="1" applyBorder="1" applyAlignment="1">
      <alignment horizontal="center"/>
    </xf>
    <xf numFmtId="0" fontId="28" fillId="0" borderId="14" xfId="0" applyFont="1" applyFill="1" applyBorder="1" applyAlignment="1">
      <alignment horizontal="center"/>
    </xf>
    <xf numFmtId="0" fontId="35" fillId="0" borderId="25" xfId="0" applyFont="1" applyBorder="1" applyAlignment="1">
      <alignment/>
    </xf>
    <xf numFmtId="0" fontId="35" fillId="0" borderId="16" xfId="0" applyFont="1" applyBorder="1" applyAlignment="1">
      <alignment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</cellXfs>
  <cellStyles count="11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2 3" xfId="46"/>
    <cellStyle name="Comma 2_make sure its saved" xfId="47"/>
    <cellStyle name="Comma 3" xfId="48"/>
    <cellStyle name="Comma 3 2" xfId="49"/>
    <cellStyle name="Comma 3 3" xfId="50"/>
    <cellStyle name="Comma 3_Management Accounts August 2010" xfId="51"/>
    <cellStyle name="Comma 4" xfId="52"/>
    <cellStyle name="Comma 4 2" xfId="53"/>
    <cellStyle name="Comma 4_Management Accounts August 2010" xfId="54"/>
    <cellStyle name="Comma 5" xfId="55"/>
    <cellStyle name="Comma 6" xfId="56"/>
    <cellStyle name="Comma 7" xfId="57"/>
    <cellStyle name="Comma 8" xfId="58"/>
    <cellStyle name="Currency" xfId="59"/>
    <cellStyle name="Currency [0]" xfId="60"/>
    <cellStyle name="Date" xfId="61"/>
    <cellStyle name="Explanatory Text" xfId="62"/>
    <cellStyle name="Followed Hyperlink" xfId="63"/>
    <cellStyle name="Good" xfId="64"/>
    <cellStyle name="Heading 1" xfId="65"/>
    <cellStyle name="Heading 2" xfId="66"/>
    <cellStyle name="Heading 3" xfId="67"/>
    <cellStyle name="Heading 4" xfId="68"/>
    <cellStyle name="Hyperlink" xfId="69"/>
    <cellStyle name="Input" xfId="70"/>
    <cellStyle name="Linked Cell" xfId="71"/>
    <cellStyle name="Neutral" xfId="72"/>
    <cellStyle name="Normal 10" xfId="73"/>
    <cellStyle name="Normal 10 2" xfId="74"/>
    <cellStyle name="Normal 10_Prepayments" xfId="75"/>
    <cellStyle name="Normal 11" xfId="76"/>
    <cellStyle name="Normal 11 2" xfId="77"/>
    <cellStyle name="Normal 11_Prepayments" xfId="78"/>
    <cellStyle name="Normal 12" xfId="79"/>
    <cellStyle name="Normal 12 2" xfId="80"/>
    <cellStyle name="Normal 12_Prepayments" xfId="81"/>
    <cellStyle name="Normal 13" xfId="82"/>
    <cellStyle name="Normal 13 2" xfId="83"/>
    <cellStyle name="Normal 13_Prepayments" xfId="84"/>
    <cellStyle name="Normal 14" xfId="85"/>
    <cellStyle name="Normal 15" xfId="86"/>
    <cellStyle name="Normal 2" xfId="87"/>
    <cellStyle name="Normal 2 2" xfId="88"/>
    <cellStyle name="Normal 2 3" xfId="89"/>
    <cellStyle name="Normal 2_Audit CT Comp 2008" xfId="90"/>
    <cellStyle name="Normal 3" xfId="91"/>
    <cellStyle name="Normal 3 2" xfId="92"/>
    <cellStyle name="Normal 3 3" xfId="93"/>
    <cellStyle name="Normal 3_Fees in advance detail" xfId="94"/>
    <cellStyle name="Normal 4" xfId="95"/>
    <cellStyle name="Normal 4 2" xfId="96"/>
    <cellStyle name="Normal 4_Management Accounts August 2010" xfId="97"/>
    <cellStyle name="Normal 5" xfId="98"/>
    <cellStyle name="Normal 5 2" xfId="99"/>
    <cellStyle name="Normal 5 3" xfId="100"/>
    <cellStyle name="Normal 5_Management Accounts August 2010" xfId="101"/>
    <cellStyle name="Normal 6" xfId="102"/>
    <cellStyle name="Normal 6 2" xfId="103"/>
    <cellStyle name="Normal 6 3" xfId="104"/>
    <cellStyle name="Normal 6_Management Accounts August 2010" xfId="105"/>
    <cellStyle name="Normal 7" xfId="106"/>
    <cellStyle name="Normal 7 2" xfId="107"/>
    <cellStyle name="Normal 7_Management Accounts August 2010" xfId="108"/>
    <cellStyle name="Normal 8" xfId="109"/>
    <cellStyle name="Normal 8 2" xfId="110"/>
    <cellStyle name="Normal 8_Prepayments" xfId="111"/>
    <cellStyle name="Normal 9" xfId="112"/>
    <cellStyle name="Normal 9 2" xfId="113"/>
    <cellStyle name="Normal 9_Prepayments" xfId="114"/>
    <cellStyle name="Normal_Bank Rec 08-09" xfId="115"/>
    <cellStyle name="Normal_Sheet1_1" xfId="116"/>
    <cellStyle name="Note" xfId="117"/>
    <cellStyle name="Output" xfId="118"/>
    <cellStyle name="Percent" xfId="119"/>
    <cellStyle name="Percent 2" xfId="120"/>
    <cellStyle name="Percent 2 2" xfId="121"/>
    <cellStyle name="Percent 2 3" xfId="122"/>
    <cellStyle name="Percent 3" xfId="123"/>
    <cellStyle name="Percent 3 2" xfId="124"/>
    <cellStyle name="Percent 4" xfId="125"/>
    <cellStyle name="Title" xfId="126"/>
    <cellStyle name="Total" xfId="127"/>
    <cellStyle name="Warning Text" xfId="12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19800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000066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123825</xdr:colOff>
      <xdr:row>16</xdr:row>
      <xdr:rowOff>152400</xdr:rowOff>
    </xdr:from>
    <xdr:to>
      <xdr:col>5</xdr:col>
      <xdr:colOff>485775</xdr:colOff>
      <xdr:row>23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95475" y="2905125"/>
          <a:ext cx="154305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0</xdr:col>
      <xdr:colOff>1638300</xdr:colOff>
      <xdr:row>3</xdr:row>
      <xdr:rowOff>247650</xdr:rowOff>
    </xdr:to>
    <xdr:pic>
      <xdr:nvPicPr>
        <xdr:cNvPr id="1" name="Picture 1" descr="75d8479f35d3436897dc768ddb82778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6383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0</xdr:col>
      <xdr:colOff>895350</xdr:colOff>
      <xdr:row>4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8953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885825</xdr:colOff>
      <xdr:row>4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858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0</xdr:col>
      <xdr:colOff>847725</xdr:colOff>
      <xdr:row>4</xdr:row>
      <xdr:rowOff>333375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1450"/>
          <a:ext cx="8477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895350</xdr:colOff>
      <xdr:row>4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953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723900</xdr:colOff>
      <xdr:row>4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858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276225</xdr:colOff>
      <xdr:row>5</xdr:row>
      <xdr:rowOff>85725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6677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0</xdr:col>
      <xdr:colOff>1666875</xdr:colOff>
      <xdr:row>3</xdr:row>
      <xdr:rowOff>247650</xdr:rowOff>
    </xdr:to>
    <xdr:pic>
      <xdr:nvPicPr>
        <xdr:cNvPr id="1" name="Picture 1" descr="75d8479f35d3436897dc768ddb82778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6668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0</xdr:col>
      <xdr:colOff>1666875</xdr:colOff>
      <xdr:row>3</xdr:row>
      <xdr:rowOff>247650</xdr:rowOff>
    </xdr:to>
    <xdr:pic>
      <xdr:nvPicPr>
        <xdr:cNvPr id="1" name="Picture 1" descr="75d8479f35d3436897dc768ddb82778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6668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6:J54"/>
  <sheetViews>
    <sheetView zoomScalePageLayoutView="0" workbookViewId="0" topLeftCell="A4">
      <selection activeCell="J15" sqref="J15"/>
    </sheetView>
  </sheetViews>
  <sheetFormatPr defaultColWidth="11.421875" defaultRowHeight="12.75"/>
  <cols>
    <col min="1" max="16384" width="8.8515625" style="0" customWidth="1"/>
  </cols>
  <sheetData>
    <row r="6" spans="1:10" ht="12.75">
      <c r="A6" s="2"/>
      <c r="B6" s="2"/>
      <c r="C6" s="2"/>
      <c r="D6" s="2"/>
      <c r="E6" s="2"/>
      <c r="F6" s="2"/>
      <c r="G6" s="2"/>
      <c r="H6" s="2"/>
      <c r="I6" s="2"/>
      <c r="J6" s="2"/>
    </row>
    <row r="7" spans="2:10" ht="12.75">
      <c r="B7" s="20"/>
      <c r="C7" s="20"/>
      <c r="D7" s="20"/>
      <c r="E7" s="20"/>
      <c r="F7" s="20"/>
      <c r="G7" s="20"/>
      <c r="H7" s="20"/>
      <c r="I7" s="20"/>
      <c r="J7" s="20"/>
    </row>
    <row r="8" spans="2:10" ht="12.75">
      <c r="B8" s="20"/>
      <c r="C8" s="20"/>
      <c r="D8" s="20"/>
      <c r="E8" s="20"/>
      <c r="F8" s="20"/>
      <c r="G8" s="20"/>
      <c r="H8" s="20"/>
      <c r="I8" s="20"/>
      <c r="J8" s="20"/>
    </row>
    <row r="9" spans="2:10" ht="12.75">
      <c r="B9" s="20"/>
      <c r="C9" s="20"/>
      <c r="D9" s="20"/>
      <c r="E9" s="20"/>
      <c r="F9" s="20"/>
      <c r="G9" s="20"/>
      <c r="H9" s="20"/>
      <c r="I9" s="20"/>
      <c r="J9" s="20"/>
    </row>
    <row r="10" spans="2:10" ht="12.75">
      <c r="B10" s="20"/>
      <c r="C10" s="20"/>
      <c r="D10" s="20"/>
      <c r="E10" s="20"/>
      <c r="F10" s="20"/>
      <c r="G10" s="20"/>
      <c r="H10" s="20"/>
      <c r="I10" s="20"/>
      <c r="J10" s="20"/>
    </row>
    <row r="11" spans="2:10" ht="12.75">
      <c r="B11" s="20"/>
      <c r="C11" s="20"/>
      <c r="D11" s="20"/>
      <c r="E11" s="20"/>
      <c r="F11" s="20"/>
      <c r="G11" s="20"/>
      <c r="H11" s="20"/>
      <c r="I11" s="20"/>
      <c r="J11" s="20"/>
    </row>
    <row r="12" spans="1:10" ht="15.75">
      <c r="A12" s="179" t="s">
        <v>201</v>
      </c>
      <c r="B12" s="180"/>
      <c r="C12" s="180"/>
      <c r="D12" s="180"/>
      <c r="E12" s="180"/>
      <c r="F12" s="180"/>
      <c r="G12" s="180"/>
      <c r="H12" s="180"/>
      <c r="I12" s="180"/>
      <c r="J12" s="20"/>
    </row>
    <row r="13" spans="1:10" ht="15.75">
      <c r="A13" s="179" t="s">
        <v>282</v>
      </c>
      <c r="B13" s="180"/>
      <c r="C13" s="180"/>
      <c r="D13" s="180"/>
      <c r="E13" s="180"/>
      <c r="F13" s="180"/>
      <c r="G13" s="180"/>
      <c r="H13" s="180"/>
      <c r="I13" s="180"/>
      <c r="J13" s="42"/>
    </row>
    <row r="14" spans="1:10" ht="19.5">
      <c r="A14" s="17"/>
      <c r="B14" s="17"/>
      <c r="C14" s="17"/>
      <c r="D14" s="17"/>
      <c r="E14" s="43"/>
      <c r="F14" s="43"/>
      <c r="G14" s="43"/>
      <c r="H14" s="43"/>
      <c r="I14" s="43"/>
      <c r="J14" s="43"/>
    </row>
    <row r="17" spans="1:9" ht="12.75">
      <c r="A17" s="123"/>
      <c r="B17" s="123"/>
      <c r="C17" s="123"/>
      <c r="D17" s="123"/>
      <c r="E17" s="123"/>
      <c r="F17" s="123"/>
      <c r="G17" s="123"/>
      <c r="H17" s="123"/>
      <c r="I17" s="123"/>
    </row>
    <row r="18" spans="1:9" ht="12.75">
      <c r="A18" s="123"/>
      <c r="B18" s="123"/>
      <c r="C18" s="123"/>
      <c r="D18" s="123"/>
      <c r="E18" s="123"/>
      <c r="F18" s="123"/>
      <c r="G18" s="123"/>
      <c r="H18" s="123"/>
      <c r="I18" s="123"/>
    </row>
    <row r="19" spans="1:9" ht="12.75">
      <c r="A19" s="123"/>
      <c r="B19" s="123"/>
      <c r="C19" s="123"/>
      <c r="D19" s="123"/>
      <c r="E19" s="123"/>
      <c r="F19" s="123"/>
      <c r="G19" s="123"/>
      <c r="H19" s="123"/>
      <c r="I19" s="123"/>
    </row>
    <row r="20" spans="1:9" ht="12.75">
      <c r="A20" s="123"/>
      <c r="B20" s="123"/>
      <c r="C20" s="123"/>
      <c r="D20" s="123"/>
      <c r="E20" s="123"/>
      <c r="F20" s="123"/>
      <c r="G20" s="123"/>
      <c r="H20" s="123"/>
      <c r="I20" s="123"/>
    </row>
    <row r="21" spans="1:9" ht="12.75">
      <c r="A21" s="123"/>
      <c r="B21" s="123"/>
      <c r="C21" s="123"/>
      <c r="D21" s="123"/>
      <c r="E21" s="123"/>
      <c r="F21" s="123"/>
      <c r="G21" s="123"/>
      <c r="H21" s="123"/>
      <c r="I21" s="123"/>
    </row>
    <row r="22" spans="1:9" ht="12.75">
      <c r="A22" s="123"/>
      <c r="B22" s="123"/>
      <c r="C22" s="123"/>
      <c r="D22" s="123"/>
      <c r="E22" s="123"/>
      <c r="F22" s="123"/>
      <c r="G22" s="123"/>
      <c r="H22" s="123"/>
      <c r="I22" s="123"/>
    </row>
    <row r="23" spans="1:9" ht="12.75">
      <c r="A23" s="123"/>
      <c r="B23" s="123"/>
      <c r="C23" s="123"/>
      <c r="D23" s="123"/>
      <c r="E23" s="123"/>
      <c r="F23" s="123"/>
      <c r="G23" s="123"/>
      <c r="H23" s="123"/>
      <c r="I23" s="123"/>
    </row>
    <row r="24" spans="1:9" ht="12.75">
      <c r="A24" s="123"/>
      <c r="B24" s="123"/>
      <c r="C24" s="123"/>
      <c r="D24" s="123"/>
      <c r="E24" s="123"/>
      <c r="F24" s="123"/>
      <c r="G24" s="123"/>
      <c r="H24" s="123"/>
      <c r="I24" s="123"/>
    </row>
    <row r="25" spans="1:9" ht="12.75">
      <c r="A25" s="123"/>
      <c r="B25" s="123"/>
      <c r="C25" s="123"/>
      <c r="D25" s="123"/>
      <c r="E25" s="123"/>
      <c r="F25" s="123"/>
      <c r="G25" s="123"/>
      <c r="H25" s="123"/>
      <c r="I25" s="123"/>
    </row>
    <row r="26" spans="1:9" ht="12.75">
      <c r="A26" s="123"/>
      <c r="B26" s="123"/>
      <c r="C26" s="123"/>
      <c r="D26" s="123"/>
      <c r="E26" s="123"/>
      <c r="F26" s="123"/>
      <c r="G26" s="123"/>
      <c r="H26" s="123"/>
      <c r="I26" s="123"/>
    </row>
    <row r="27" spans="1:9" ht="12.75">
      <c r="A27" s="123"/>
      <c r="B27" s="123"/>
      <c r="C27" s="123"/>
      <c r="D27" s="123"/>
      <c r="E27" s="123"/>
      <c r="F27" s="123"/>
      <c r="G27" s="123"/>
      <c r="H27" s="123"/>
      <c r="I27" s="123"/>
    </row>
    <row r="53" spans="1:8" ht="12.75">
      <c r="A53" s="44"/>
      <c r="G53" s="44"/>
      <c r="H53" s="44"/>
    </row>
    <row r="54" ht="12.75">
      <c r="A54" s="1"/>
    </row>
  </sheetData>
  <sheetProtection/>
  <mergeCells count="2">
    <mergeCell ref="A12:I12"/>
    <mergeCell ref="A13:I13"/>
  </mergeCells>
  <printOptions/>
  <pageMargins left="0.7" right="0.7" top="0.75" bottom="0.75" header="0.3" footer="0.3"/>
  <pageSetup fitToHeight="1" fitToWidth="1" horizontalDpi="600" verticalDpi="600" orientation="portrait" paperSize="9"/>
  <headerFooter alignWithMargins="0">
    <oddFooter>&amp;C&amp;P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8"/>
  <sheetViews>
    <sheetView workbookViewId="0" topLeftCell="A4">
      <selection activeCell="D11" sqref="D11"/>
    </sheetView>
  </sheetViews>
  <sheetFormatPr defaultColWidth="9.140625" defaultRowHeight="12.75"/>
  <cols>
    <col min="1" max="1" width="25.140625" style="2" customWidth="1"/>
    <col min="2" max="2" width="2.00390625" style="2" customWidth="1"/>
    <col min="3" max="3" width="2.421875" style="2" customWidth="1"/>
    <col min="4" max="4" width="16.421875" style="2" customWidth="1"/>
    <col min="5" max="5" width="4.421875" style="2" customWidth="1"/>
    <col min="6" max="6" width="17.421875" style="6" customWidth="1"/>
    <col min="7" max="7" width="14.28125" style="6" hidden="1" customWidth="1"/>
    <col min="8" max="8" width="4.421875" style="2" customWidth="1"/>
    <col min="9" max="9" width="15.8515625" style="2" customWidth="1"/>
    <col min="10" max="10" width="9.140625" style="2" customWidth="1"/>
    <col min="11" max="11" width="11.421875" style="2" bestFit="1" customWidth="1"/>
    <col min="12" max="16384" width="9.140625" style="2" customWidth="1"/>
  </cols>
  <sheetData>
    <row r="1" spans="1:9" ht="18" customHeight="1">
      <c r="A1" s="18"/>
      <c r="B1" s="222" t="s">
        <v>20</v>
      </c>
      <c r="C1" s="223"/>
      <c r="D1" s="223"/>
      <c r="E1" s="223"/>
      <c r="F1" s="223"/>
      <c r="G1" s="223"/>
      <c r="H1" s="223"/>
      <c r="I1" s="224"/>
    </row>
    <row r="2" spans="1:9" ht="19.5">
      <c r="A2" s="16"/>
      <c r="B2" s="225"/>
      <c r="C2" s="226"/>
      <c r="D2" s="226"/>
      <c r="E2" s="226"/>
      <c r="F2" s="226"/>
      <c r="G2" s="226"/>
      <c r="H2" s="226"/>
      <c r="I2" s="227"/>
    </row>
    <row r="3" spans="1:9" ht="8.25" customHeight="1">
      <c r="A3" s="16"/>
      <c r="B3" s="189"/>
      <c r="C3" s="228"/>
      <c r="D3" s="228"/>
      <c r="E3" s="228"/>
      <c r="F3" s="228"/>
      <c r="G3" s="228"/>
      <c r="H3" s="228"/>
      <c r="I3" s="229"/>
    </row>
    <row r="4" spans="1:9" ht="20.25" thickBot="1">
      <c r="A4" s="19"/>
      <c r="B4" s="230" t="s">
        <v>166</v>
      </c>
      <c r="C4" s="231"/>
      <c r="D4" s="231"/>
      <c r="E4" s="231"/>
      <c r="F4" s="231"/>
      <c r="G4" s="231"/>
      <c r="H4" s="231"/>
      <c r="I4" s="232"/>
    </row>
    <row r="5" ht="7.5" customHeight="1" thickBot="1"/>
    <row r="6" spans="4:9" ht="12.75">
      <c r="D6" s="51" t="s">
        <v>9</v>
      </c>
      <c r="F6" s="51" t="s">
        <v>174</v>
      </c>
      <c r="G6" s="4" t="s">
        <v>9</v>
      </c>
      <c r="I6" s="51" t="s">
        <v>9</v>
      </c>
    </row>
    <row r="7" spans="3:9" ht="12.75">
      <c r="C7" s="3"/>
      <c r="D7" s="50" t="s">
        <v>163</v>
      </c>
      <c r="F7" s="48" t="s">
        <v>175</v>
      </c>
      <c r="G7" s="4" t="s">
        <v>10</v>
      </c>
      <c r="I7" s="48" t="s">
        <v>164</v>
      </c>
    </row>
    <row r="8" spans="4:9" ht="13.5" thickBot="1">
      <c r="D8" s="49" t="s">
        <v>7</v>
      </c>
      <c r="F8" s="52" t="s">
        <v>7</v>
      </c>
      <c r="G8" s="4" t="s">
        <v>7</v>
      </c>
      <c r="I8" s="52" t="s">
        <v>7</v>
      </c>
    </row>
    <row r="9" ht="8.25" customHeight="1"/>
    <row r="10" spans="1:3" ht="12.75">
      <c r="A10" s="5" t="s">
        <v>8</v>
      </c>
      <c r="B10" s="5"/>
      <c r="C10" s="5"/>
    </row>
    <row r="11" spans="1:12" ht="12.75">
      <c r="A11" s="2" t="str">
        <f>'P&amp;L Details'!A12</f>
        <v>CPP Income</v>
      </c>
      <c r="D11" s="6">
        <f>'Budget Details'!M11</f>
        <v>255444</v>
      </c>
      <c r="F11" s="6">
        <f>'P&amp;L Summary'!C12</f>
        <v>336626</v>
      </c>
      <c r="G11" s="6">
        <f>374259+11500</f>
        <v>385759</v>
      </c>
      <c r="I11" s="6" t="e">
        <f>'P&amp;L Summary'!#REF!</f>
        <v>#REF!</v>
      </c>
      <c r="K11" s="6"/>
      <c r="L11" s="9"/>
    </row>
    <row r="12" spans="1:12" ht="12.75">
      <c r="A12" s="2" t="str">
        <f>'P&amp;L Details'!A13</f>
        <v>Dublin City Council- Dublin House</v>
      </c>
      <c r="D12" s="6">
        <f>'Budget Details'!M12</f>
        <v>42660</v>
      </c>
      <c r="F12" s="6">
        <f>'P&amp;L Summary'!C13</f>
        <v>226382</v>
      </c>
      <c r="G12" s="6">
        <v>42665</v>
      </c>
      <c r="I12" s="6" t="e">
        <f>'P&amp;L Summary'!#REF!</f>
        <v>#REF!</v>
      </c>
      <c r="K12" s="6"/>
      <c r="L12" s="9"/>
    </row>
    <row r="13" spans="1:12" ht="12.75">
      <c r="A13" s="2" t="e">
        <f>'P&amp;L Details'!#REF!</f>
        <v>#REF!</v>
      </c>
      <c r="D13" s="6">
        <f>'Budget Details'!M13</f>
        <v>9756</v>
      </c>
      <c r="F13" s="6" t="e">
        <f>'P&amp;L Summary'!#REF!</f>
        <v>#REF!</v>
      </c>
      <c r="G13" s="6">
        <v>11461</v>
      </c>
      <c r="I13" s="6" t="e">
        <f>'P&amp;L Summary'!#REF!</f>
        <v>#REF!</v>
      </c>
      <c r="K13" s="6"/>
      <c r="L13" s="9"/>
    </row>
    <row r="14" spans="1:12" ht="12.75">
      <c r="A14" s="2" t="str">
        <f>'P&amp;L Details'!A14</f>
        <v>Donations and Subscriptions </v>
      </c>
      <c r="D14" s="6">
        <f>'Budget Details'!M14</f>
        <v>2568</v>
      </c>
      <c r="F14" s="6">
        <f>'P&amp;L Summary'!C14</f>
        <v>2325</v>
      </c>
      <c r="G14" s="6">
        <f>19280</f>
        <v>19280</v>
      </c>
      <c r="I14" s="6" t="e">
        <f>'P&amp;L Summary'!#REF!</f>
        <v>#REF!</v>
      </c>
      <c r="K14" s="6"/>
      <c r="L14" s="9"/>
    </row>
    <row r="15" spans="1:12" ht="12.75">
      <c r="A15" s="2" t="str">
        <f>'P&amp;L Details'!A15</f>
        <v>Tusla SLA</v>
      </c>
      <c r="D15" s="6">
        <f>'Budget Details'!M15</f>
        <v>11292</v>
      </c>
      <c r="F15" s="6">
        <f>'P&amp;L Summary'!C16</f>
        <v>7500</v>
      </c>
      <c r="G15" s="6">
        <v>719</v>
      </c>
      <c r="I15" s="6" t="e">
        <f>'P&amp;L Summary'!#REF!</f>
        <v>#REF!</v>
      </c>
      <c r="K15" s="6"/>
      <c r="L15" s="9"/>
    </row>
    <row r="16" spans="1:12" ht="12.75">
      <c r="A16" s="2" t="str">
        <f>'P&amp;L Details'!A16</f>
        <v>Grant income</v>
      </c>
      <c r="D16" s="6">
        <f>'Budget Details'!M16</f>
        <v>0</v>
      </c>
      <c r="F16" s="6">
        <f>'P&amp;L Summary'!C17</f>
        <v>4372</v>
      </c>
      <c r="G16" s="6">
        <v>577</v>
      </c>
      <c r="I16" s="6" t="e">
        <f>'P&amp;L Summary'!#REF!</f>
        <v>#REF!</v>
      </c>
      <c r="K16" s="6"/>
      <c r="L16" s="9"/>
    </row>
    <row r="17" spans="1:12" ht="12.75">
      <c r="A17" s="2" t="str">
        <f>'P&amp;L Details'!A17</f>
        <v>Rental Income Accommodation Service</v>
      </c>
      <c r="D17" s="6">
        <f>'Budget Details'!M17</f>
        <v>0</v>
      </c>
      <c r="F17" s="6">
        <f>'P&amp;L Summary'!C21</f>
        <v>129200</v>
      </c>
      <c r="G17" s="6">
        <v>0</v>
      </c>
      <c r="I17" s="6" t="e">
        <f>'P&amp;L Summary'!#REF!</f>
        <v>#REF!</v>
      </c>
      <c r="K17" s="6"/>
      <c r="L17" s="9"/>
    </row>
    <row r="18" spans="1:12" ht="12.75">
      <c r="A18" s="2" t="str">
        <f>'P&amp;L Details'!A18</f>
        <v>Floating Support Rent</v>
      </c>
      <c r="D18" s="6">
        <f>'Budget Details'!M18</f>
        <v>5004</v>
      </c>
      <c r="F18" s="6">
        <f>'P&amp;L Summary'!C22</f>
        <v>19097</v>
      </c>
      <c r="G18" s="6">
        <v>5075</v>
      </c>
      <c r="I18" s="6" t="e">
        <f>'P&amp;L Summary'!#REF!</f>
        <v>#REF!</v>
      </c>
      <c r="K18" s="6"/>
      <c r="L18" s="9"/>
    </row>
    <row r="19" spans="1:12" ht="12.75">
      <c r="A19" s="2" t="e">
        <f>'P&amp;L Details'!#REF!</f>
        <v>#REF!</v>
      </c>
      <c r="D19" s="6">
        <f>'Budget Details'!M19</f>
        <v>0</v>
      </c>
      <c r="F19" s="6" t="e">
        <f>'P&amp;L Summary'!#REF!</f>
        <v>#REF!</v>
      </c>
      <c r="G19" s="6">
        <v>2603</v>
      </c>
      <c r="I19" s="6" t="e">
        <f>'P&amp;L Summary'!#REF!</f>
        <v>#REF!</v>
      </c>
      <c r="K19" s="6"/>
      <c r="L19" s="9"/>
    </row>
    <row r="20" spans="1:12" ht="12.75">
      <c r="A20" s="2" t="e">
        <f>'P&amp;L Details'!#REF!</f>
        <v>#REF!</v>
      </c>
      <c r="D20" s="6">
        <f>'Budget Details'!M20</f>
        <v>108</v>
      </c>
      <c r="F20" s="6">
        <f>'P&amp;L Summary'!C23</f>
        <v>3000</v>
      </c>
      <c r="I20" s="6" t="e">
        <f>'P&amp;L Summary'!#REF!</f>
        <v>#REF!</v>
      </c>
      <c r="K20" s="6"/>
      <c r="L20" s="9"/>
    </row>
    <row r="21" spans="4:9" ht="12.75">
      <c r="D21" s="6"/>
      <c r="I21" s="6"/>
    </row>
    <row r="22" spans="1:9" ht="12.75">
      <c r="A22" s="7" t="s">
        <v>6</v>
      </c>
      <c r="B22" s="7"/>
      <c r="C22" s="7"/>
      <c r="D22" s="8">
        <f>SUM(D11:D20)</f>
        <v>326832</v>
      </c>
      <c r="E22" s="7"/>
      <c r="F22" s="8" t="e">
        <f>SUM(F11:F20)</f>
        <v>#REF!</v>
      </c>
      <c r="G22" s="8">
        <f>SUM(G11:G19)</f>
        <v>468139</v>
      </c>
      <c r="I22" s="8" t="e">
        <f>SUM(I11:I20)</f>
        <v>#REF!</v>
      </c>
    </row>
    <row r="23" ht="12.75">
      <c r="I23" s="6"/>
    </row>
    <row r="24" spans="1:9" ht="12.75">
      <c r="A24" s="5" t="s">
        <v>0</v>
      </c>
      <c r="B24" s="5"/>
      <c r="C24" s="5"/>
      <c r="I24" s="6"/>
    </row>
    <row r="25" spans="1:12" ht="12.75">
      <c r="A25" s="2" t="str">
        <f>'P&amp;L Details'!A26</f>
        <v>Staff Salaries</v>
      </c>
      <c r="D25" s="9">
        <f>'Budget Details'!M25</f>
        <v>262380</v>
      </c>
      <c r="F25" s="6">
        <f>'P&amp;L Summary'!C29</f>
        <v>514247</v>
      </c>
      <c r="G25" s="6">
        <f>194186-G26+9183</f>
        <v>184520</v>
      </c>
      <c r="I25" s="6" t="e">
        <f>'P&amp;L Summary'!#REF!</f>
        <v>#REF!</v>
      </c>
      <c r="J25" s="9"/>
      <c r="K25" s="6">
        <f>D25/4</f>
        <v>65595</v>
      </c>
      <c r="L25" s="9"/>
    </row>
    <row r="26" spans="1:12" ht="12.75">
      <c r="A26" s="2" t="str">
        <f>'P&amp;L Details'!A27</f>
        <v>Employers PRSI</v>
      </c>
      <c r="D26" s="9">
        <f>'Budget Details'!M26</f>
        <v>0</v>
      </c>
      <c r="F26" s="6">
        <f>'P&amp;L Summary'!C30</f>
        <v>46648</v>
      </c>
      <c r="G26" s="6">
        <v>18849</v>
      </c>
      <c r="I26" s="6" t="e">
        <f>'P&amp;L Summary'!#REF!</f>
        <v>#REF!</v>
      </c>
      <c r="J26" s="9"/>
      <c r="K26" s="6">
        <f aca="true" t="shared" si="0" ref="K26:K54">D26/4</f>
        <v>0</v>
      </c>
      <c r="L26" s="9"/>
    </row>
    <row r="27" spans="1:12" ht="12.75">
      <c r="A27" s="2" t="s">
        <v>173</v>
      </c>
      <c r="D27" s="9">
        <f>'Budget Details'!M27</f>
        <v>0</v>
      </c>
      <c r="F27" s="6">
        <v>0</v>
      </c>
      <c r="I27" s="6">
        <v>0</v>
      </c>
      <c r="J27" s="9"/>
      <c r="K27" s="6">
        <f t="shared" si="0"/>
        <v>0</v>
      </c>
      <c r="L27" s="9"/>
    </row>
    <row r="28" spans="1:12" ht="12.75">
      <c r="A28" s="2" t="str">
        <f>'P&amp;L Details'!A29</f>
        <v>Staff Pension</v>
      </c>
      <c r="D28" s="9">
        <f>'Budget Details'!M28</f>
        <v>0</v>
      </c>
      <c r="F28" s="6">
        <f>'P&amp;L Summary'!C31</f>
        <v>4890</v>
      </c>
      <c r="I28" s="6" t="e">
        <f>'P&amp;L Summary'!#REF!</f>
        <v>#REF!</v>
      </c>
      <c r="J28" s="9"/>
      <c r="K28" s="6">
        <f t="shared" si="0"/>
        <v>0</v>
      </c>
      <c r="L28" s="9"/>
    </row>
    <row r="29" spans="1:12" s="60" customFormat="1" ht="12.75">
      <c r="A29" s="2" t="str">
        <f>'P&amp;L Details'!A30</f>
        <v>Recruitment</v>
      </c>
      <c r="D29" s="9">
        <f>'Budget Details'!M29</f>
        <v>0</v>
      </c>
      <c r="F29" s="6">
        <f>'P&amp;L Summary'!C32</f>
        <v>0</v>
      </c>
      <c r="G29" s="61">
        <v>9079</v>
      </c>
      <c r="I29" s="6" t="e">
        <f>'P&amp;L Summary'!#REF!</f>
        <v>#REF!</v>
      </c>
      <c r="J29" s="9"/>
      <c r="K29" s="6">
        <f t="shared" si="0"/>
        <v>0</v>
      </c>
      <c r="L29" s="9"/>
    </row>
    <row r="30" spans="1:12" ht="12.75">
      <c r="A30" s="2" t="str">
        <f>'P&amp;L Details'!A31</f>
        <v>Staff Training</v>
      </c>
      <c r="D30" s="9">
        <f>'Budget Details'!M30</f>
        <v>10200</v>
      </c>
      <c r="F30" s="6">
        <f>'P&amp;L Summary'!C33</f>
        <v>3293</v>
      </c>
      <c r="G30" s="6">
        <v>0</v>
      </c>
      <c r="I30" s="6" t="e">
        <f>'P&amp;L Summary'!#REF!</f>
        <v>#REF!</v>
      </c>
      <c r="J30" s="9"/>
      <c r="K30" s="6">
        <f t="shared" si="0"/>
        <v>2550</v>
      </c>
      <c r="L30" s="9"/>
    </row>
    <row r="31" spans="1:12" ht="12.75">
      <c r="A31" s="2" t="str">
        <f>'P&amp;L Details'!A32</f>
        <v>Supervision Expenses</v>
      </c>
      <c r="D31" s="9">
        <f>'Budget Details'!M31</f>
        <v>0</v>
      </c>
      <c r="F31" s="6">
        <f>'P&amp;L Summary'!C35</f>
        <v>2770</v>
      </c>
      <c r="G31" s="6">
        <f>14153-G33</f>
        <v>10153</v>
      </c>
      <c r="I31" s="6" t="e">
        <f>'P&amp;L Summary'!#REF!</f>
        <v>#REF!</v>
      </c>
      <c r="J31" s="9"/>
      <c r="K31" s="6">
        <f t="shared" si="0"/>
        <v>0</v>
      </c>
      <c r="L31" s="9"/>
    </row>
    <row r="32" spans="1:12" ht="12.75">
      <c r="A32" s="2" t="str">
        <f>'P&amp;L Details'!A33</f>
        <v>Tuition Fees</v>
      </c>
      <c r="D32" s="9">
        <f>'Budget Details'!M32</f>
        <v>0</v>
      </c>
      <c r="F32" s="6" t="e">
        <f>'P&amp;L Summary'!#REF!</f>
        <v>#REF!</v>
      </c>
      <c r="G32" s="6">
        <v>9725</v>
      </c>
      <c r="I32" s="6" t="e">
        <f>'P&amp;L Summary'!#REF!</f>
        <v>#REF!</v>
      </c>
      <c r="J32" s="9"/>
      <c r="K32" s="6">
        <f t="shared" si="0"/>
        <v>0</v>
      </c>
      <c r="L32" s="9"/>
    </row>
    <row r="33" spans="1:12" ht="12.75">
      <c r="A33" s="2" t="e">
        <f>'P&amp;L Details'!#REF!</f>
        <v>#REF!</v>
      </c>
      <c r="D33" s="9">
        <f>'Budget Details'!M33</f>
        <v>1236</v>
      </c>
      <c r="F33" s="6" t="e">
        <f>'P&amp;L Summary'!#REF!</f>
        <v>#REF!</v>
      </c>
      <c r="G33" s="6">
        <v>4000</v>
      </c>
      <c r="I33" s="6" t="e">
        <f>'P&amp;L Summary'!#REF!</f>
        <v>#REF!</v>
      </c>
      <c r="J33" s="9"/>
      <c r="K33" s="6">
        <f t="shared" si="0"/>
        <v>309</v>
      </c>
      <c r="L33" s="9"/>
    </row>
    <row r="34" spans="1:12" ht="12.75">
      <c r="A34" s="2" t="str">
        <f>'P&amp;L Details'!A34</f>
        <v>Board Meeting Expenses</v>
      </c>
      <c r="D34" s="9">
        <f>'Budget Details'!M34</f>
        <v>0</v>
      </c>
      <c r="F34" s="6">
        <f>'P&amp;L Summary'!C36</f>
        <v>3375</v>
      </c>
      <c r="G34" s="6">
        <v>537</v>
      </c>
      <c r="I34" s="6" t="e">
        <f>'P&amp;L Summary'!#REF!</f>
        <v>#REF!</v>
      </c>
      <c r="J34" s="9"/>
      <c r="K34" s="6">
        <f t="shared" si="0"/>
        <v>0</v>
      </c>
      <c r="L34" s="9"/>
    </row>
    <row r="35" spans="1:12" ht="12.75">
      <c r="A35" s="2" t="str">
        <f>'P&amp;L Details'!A35</f>
        <v>Conference Costs</v>
      </c>
      <c r="D35" s="9">
        <f>'Budget Details'!M35</f>
        <v>660</v>
      </c>
      <c r="F35" s="6">
        <f>'P&amp;L Summary'!C37</f>
        <v>222</v>
      </c>
      <c r="G35" s="6">
        <v>0</v>
      </c>
      <c r="I35" s="6" t="e">
        <f>'P&amp;L Summary'!#REF!</f>
        <v>#REF!</v>
      </c>
      <c r="J35" s="9"/>
      <c r="K35" s="6">
        <f t="shared" si="0"/>
        <v>165</v>
      </c>
      <c r="L35" s="9"/>
    </row>
    <row r="36" spans="1:12" ht="12.75">
      <c r="A36" s="2" t="str">
        <f>'P&amp;L Details'!A36</f>
        <v>Rent, rates &amp; facilities mgt</v>
      </c>
      <c r="D36" s="9">
        <f>'Budget Details'!M36</f>
        <v>36060</v>
      </c>
      <c r="F36" s="6">
        <f>'P&amp;L Summary'!C38</f>
        <v>46102</v>
      </c>
      <c r="G36" s="6">
        <v>0</v>
      </c>
      <c r="I36" s="6" t="e">
        <f>'P&amp;L Summary'!#REF!</f>
        <v>#REF!</v>
      </c>
      <c r="J36" s="9"/>
      <c r="K36" s="6">
        <f t="shared" si="0"/>
        <v>9015</v>
      </c>
      <c r="L36" s="9"/>
    </row>
    <row r="37" spans="1:12" ht="12.75">
      <c r="A37" s="2" t="str">
        <f>'P&amp;L Details'!A37</f>
        <v>Heat and Light &amp; cleaning</v>
      </c>
      <c r="D37" s="9">
        <f>'Budget Details'!M37</f>
        <v>7704</v>
      </c>
      <c r="F37" s="6">
        <f>'P&amp;L Summary'!C39</f>
        <v>9058</v>
      </c>
      <c r="G37" s="6">
        <f>59896+1748</f>
        <v>61644</v>
      </c>
      <c r="I37" s="6" t="e">
        <f>'P&amp;L Summary'!#REF!</f>
        <v>#REF!</v>
      </c>
      <c r="J37" s="9"/>
      <c r="K37" s="6">
        <f t="shared" si="0"/>
        <v>1926</v>
      </c>
      <c r="L37" s="9"/>
    </row>
    <row r="38" spans="1:12" ht="12.75">
      <c r="A38" s="2" t="str">
        <f>'P&amp;L Details'!A38</f>
        <v>Staff/Volumteer event costs</v>
      </c>
      <c r="D38" s="9">
        <f>'Budget Details'!M38</f>
        <v>804</v>
      </c>
      <c r="F38" s="6">
        <f>'P&amp;L Summary'!C40</f>
        <v>1209</v>
      </c>
      <c r="G38" s="6">
        <f>5226+2183</f>
        <v>7409</v>
      </c>
      <c r="I38" s="6" t="e">
        <f>'P&amp;L Summary'!#REF!</f>
        <v>#REF!</v>
      </c>
      <c r="J38" s="9"/>
      <c r="K38" s="6">
        <f t="shared" si="0"/>
        <v>201</v>
      </c>
      <c r="L38" s="9"/>
    </row>
    <row r="39" spans="1:12" ht="12.75">
      <c r="A39" s="2" t="str">
        <f>'P&amp;L Details'!A39</f>
        <v>Promotional Literature</v>
      </c>
      <c r="D39" s="9">
        <f>'Budget Details'!M39</f>
        <v>3096</v>
      </c>
      <c r="F39" s="6" t="e">
        <f>'P&amp;L Summary'!#REF!</f>
        <v>#REF!</v>
      </c>
      <c r="G39" s="6">
        <f>157+510+6637</f>
        <v>7304</v>
      </c>
      <c r="I39" s="6" t="e">
        <f>'P&amp;L Summary'!#REF!</f>
        <v>#REF!</v>
      </c>
      <c r="J39" s="9"/>
      <c r="K39" s="6">
        <f t="shared" si="0"/>
        <v>774</v>
      </c>
      <c r="L39" s="9"/>
    </row>
    <row r="40" spans="1:12" ht="12.75">
      <c r="A40" s="2" t="str">
        <f>'P&amp;L Details'!A42</f>
        <v>Repairs</v>
      </c>
      <c r="D40" s="9">
        <f>'Budget Details'!M40</f>
        <v>2496</v>
      </c>
      <c r="F40" s="6">
        <f>'P&amp;L Summary'!C41</f>
        <v>6413</v>
      </c>
      <c r="G40" s="6">
        <v>1282</v>
      </c>
      <c r="I40" s="6" t="e">
        <f>'P&amp;L Summary'!#REF!</f>
        <v>#REF!</v>
      </c>
      <c r="J40" s="9"/>
      <c r="K40" s="6">
        <f t="shared" si="0"/>
        <v>624</v>
      </c>
      <c r="L40" s="9"/>
    </row>
    <row r="41" spans="1:12" ht="12.75">
      <c r="A41" s="2" t="str">
        <f>'P&amp;L Details'!A43</f>
        <v>Computer Costs</v>
      </c>
      <c r="D41" s="9">
        <f>'Budget Details'!M41</f>
        <v>600</v>
      </c>
      <c r="F41" s="6">
        <f>'P&amp;L Summary'!C43</f>
        <v>15349</v>
      </c>
      <c r="G41" s="6">
        <f>831+5842</f>
        <v>6673</v>
      </c>
      <c r="I41" s="6" t="e">
        <f>'P&amp;L Summary'!#REF!</f>
        <v>#REF!</v>
      </c>
      <c r="J41" s="9"/>
      <c r="K41" s="6">
        <f t="shared" si="0"/>
        <v>150</v>
      </c>
      <c r="L41" s="9"/>
    </row>
    <row r="42" spans="1:12" ht="12.75">
      <c r="A42" s="2" t="str">
        <f>'P&amp;L Details'!A45</f>
        <v>Printing , stationery, postage</v>
      </c>
      <c r="D42" s="9">
        <f>'Budget Details'!M42</f>
        <v>5448</v>
      </c>
      <c r="F42" s="6">
        <f>'P&amp;L Summary'!C44</f>
        <v>2023</v>
      </c>
      <c r="G42" s="6">
        <f>1979+513</f>
        <v>2492</v>
      </c>
      <c r="I42" s="6" t="e">
        <f>'P&amp;L Summary'!#REF!</f>
        <v>#REF!</v>
      </c>
      <c r="J42" s="9"/>
      <c r="K42" s="6">
        <f t="shared" si="0"/>
        <v>1362</v>
      </c>
      <c r="L42" s="9"/>
    </row>
    <row r="43" spans="1:12" ht="12.75">
      <c r="A43" s="2" t="str">
        <f>'P&amp;L Details'!A46</f>
        <v>Telephone and Internet</v>
      </c>
      <c r="D43" s="9">
        <f>'Budget Details'!M43</f>
        <v>5652</v>
      </c>
      <c r="F43" s="6">
        <f>'P&amp;L Summary'!C45</f>
        <v>9243</v>
      </c>
      <c r="G43" s="6">
        <v>3975</v>
      </c>
      <c r="I43" s="6" t="e">
        <f>'P&amp;L Summary'!#REF!</f>
        <v>#REF!</v>
      </c>
      <c r="J43" s="9"/>
      <c r="K43" s="6">
        <f t="shared" si="0"/>
        <v>1413</v>
      </c>
      <c r="L43" s="9"/>
    </row>
    <row r="44" spans="1:12" ht="12.75">
      <c r="A44" s="2" t="str">
        <f>'P&amp;L Details'!A47</f>
        <v>Bank Charges</v>
      </c>
      <c r="D44" s="9">
        <f>'Budget Details'!M44</f>
        <v>264</v>
      </c>
      <c r="F44" s="6">
        <f>'P&amp;L Summary'!C46</f>
        <v>909</v>
      </c>
      <c r="G44" s="6">
        <f>13337+1292</f>
        <v>14629</v>
      </c>
      <c r="I44" s="6" t="e">
        <f>'P&amp;L Summary'!#REF!</f>
        <v>#REF!</v>
      </c>
      <c r="J44" s="9"/>
      <c r="K44" s="6">
        <f t="shared" si="0"/>
        <v>66</v>
      </c>
      <c r="L44" s="9"/>
    </row>
    <row r="45" spans="1:12" ht="12.75">
      <c r="A45" s="2" t="str">
        <f>'P&amp;L Details'!A48</f>
        <v>Insurance</v>
      </c>
      <c r="D45" s="9">
        <f>'Budget Details'!M45</f>
        <v>0</v>
      </c>
      <c r="F45" s="6">
        <f>'P&amp;L Summary'!C48</f>
        <v>15393</v>
      </c>
      <c r="G45" s="6">
        <v>423</v>
      </c>
      <c r="I45" s="6" t="e">
        <f>'P&amp;L Summary'!#REF!</f>
        <v>#REF!</v>
      </c>
      <c r="J45" s="9"/>
      <c r="K45" s="6">
        <f t="shared" si="0"/>
        <v>0</v>
      </c>
      <c r="L45" s="9"/>
    </row>
    <row r="46" spans="1:12" ht="12.75">
      <c r="A46" s="2" t="e">
        <f>'P&amp;L Details'!#REF!</f>
        <v>#REF!</v>
      </c>
      <c r="D46" s="9">
        <f>'Budget Details'!M46</f>
        <v>2256</v>
      </c>
      <c r="F46" s="6">
        <f>'P&amp;L Summary'!C49</f>
        <v>7950</v>
      </c>
      <c r="G46" s="6">
        <f>530+12783</f>
        <v>13313</v>
      </c>
      <c r="I46" s="6" t="e">
        <f>'P&amp;L Summary'!#REF!</f>
        <v>#REF!</v>
      </c>
      <c r="J46" s="9"/>
      <c r="K46" s="6">
        <f t="shared" si="0"/>
        <v>564</v>
      </c>
      <c r="L46" s="9"/>
    </row>
    <row r="47" spans="1:12" ht="12.75">
      <c r="A47" s="60" t="str">
        <f>'P&amp;L Details'!A57</f>
        <v>Travel and Subsistence</v>
      </c>
      <c r="D47" s="9">
        <f>'Budget Details'!M47</f>
        <v>8304</v>
      </c>
      <c r="F47" s="6">
        <f>'P&amp;L Summary'!C59</f>
        <v>15626</v>
      </c>
      <c r="G47" s="6">
        <f>4758+416+9000+245</f>
        <v>14419</v>
      </c>
      <c r="I47" s="6" t="e">
        <f>'P&amp;L Summary'!#REF!</f>
        <v>#REF!</v>
      </c>
      <c r="J47" s="9"/>
      <c r="K47" s="6">
        <f t="shared" si="0"/>
        <v>2076</v>
      </c>
      <c r="L47" s="9"/>
    </row>
    <row r="48" spans="1:12" ht="12.75">
      <c r="A48" s="60" t="str">
        <f>'P&amp;L Details'!A58</f>
        <v>Membership and Subscriptions</v>
      </c>
      <c r="D48" s="9">
        <f>'Budget Details'!M48</f>
        <v>1248</v>
      </c>
      <c r="F48" s="6">
        <f>'P&amp;L Summary'!C60</f>
        <v>3181</v>
      </c>
      <c r="G48" s="6">
        <f>8058+902</f>
        <v>8960</v>
      </c>
      <c r="I48" s="6" t="e">
        <f>'P&amp;L Summary'!#REF!</f>
        <v>#REF!</v>
      </c>
      <c r="J48" s="9"/>
      <c r="K48" s="6">
        <f t="shared" si="0"/>
        <v>312</v>
      </c>
      <c r="L48" s="9"/>
    </row>
    <row r="49" spans="1:12" ht="12.75">
      <c r="A49" s="60" t="str">
        <f>'P&amp;L Details'!A59</f>
        <v>Advertising </v>
      </c>
      <c r="D49" s="9">
        <f>'Budget Details'!M49</f>
        <v>9756</v>
      </c>
      <c r="F49" s="6">
        <f>'P&amp;L Summary'!C62</f>
        <v>480</v>
      </c>
      <c r="G49" s="6">
        <v>0</v>
      </c>
      <c r="I49" s="6" t="e">
        <f>'P&amp;L Summary'!#REF!</f>
        <v>#REF!</v>
      </c>
      <c r="J49" s="9"/>
      <c r="K49" s="6">
        <f t="shared" si="0"/>
        <v>2439</v>
      </c>
      <c r="L49" s="9"/>
    </row>
    <row r="50" spans="1:12" ht="12.75">
      <c r="A50" s="60" t="e">
        <f>'P&amp;L Details'!#REF!</f>
        <v>#REF!</v>
      </c>
      <c r="D50" s="9">
        <f>'Budget Details'!M50</f>
        <v>0</v>
      </c>
      <c r="F50" s="6">
        <f>'P&amp;L Summary'!C63</f>
        <v>4616</v>
      </c>
      <c r="G50" s="6">
        <v>67191</v>
      </c>
      <c r="I50" s="6" t="e">
        <f>'P&amp;L Summary'!#REF!</f>
        <v>#REF!</v>
      </c>
      <c r="J50" s="9"/>
      <c r="K50" s="6">
        <f t="shared" si="0"/>
        <v>0</v>
      </c>
      <c r="L50" s="9"/>
    </row>
    <row r="51" spans="1:12" ht="12.75">
      <c r="A51" s="60" t="str">
        <f>'P&amp;L Details'!A60</f>
        <v>Professional and Accountant Fees</v>
      </c>
      <c r="D51" s="9">
        <f>'Budget Details'!M51</f>
        <v>0</v>
      </c>
      <c r="F51" s="6">
        <f>'P&amp;L Summary'!C64</f>
        <v>10405</v>
      </c>
      <c r="G51" s="6">
        <f>10064-G52+6452</f>
        <v>7516</v>
      </c>
      <c r="I51" s="6" t="e">
        <f>'P&amp;L Summary'!#REF!</f>
        <v>#REF!</v>
      </c>
      <c r="J51" s="9"/>
      <c r="K51" s="6">
        <f t="shared" si="0"/>
        <v>0</v>
      </c>
      <c r="L51" s="9"/>
    </row>
    <row r="52" spans="1:12" ht="12.75">
      <c r="A52" s="60" t="str">
        <f>'P&amp;L Details'!A61</f>
        <v>Audit Fees</v>
      </c>
      <c r="D52" s="9">
        <f>'Budget Details'!M52</f>
        <v>0</v>
      </c>
      <c r="F52" s="6">
        <f>'P&amp;L Summary'!C66</f>
        <v>5045</v>
      </c>
      <c r="G52" s="6">
        <v>9000</v>
      </c>
      <c r="I52" s="6" t="e">
        <f>'P&amp;L Summary'!#REF!</f>
        <v>#REF!</v>
      </c>
      <c r="J52" s="9"/>
      <c r="K52" s="6">
        <f t="shared" si="0"/>
        <v>0</v>
      </c>
      <c r="L52" s="9"/>
    </row>
    <row r="53" spans="1:12" ht="12.75">
      <c r="A53" s="60" t="e">
        <f>'P&amp;L Details'!#REF!</f>
        <v>#REF!</v>
      </c>
      <c r="D53" s="9">
        <f>'Budget Details'!M53</f>
        <v>0</v>
      </c>
      <c r="F53" s="6" t="e">
        <f>'P&amp;L Summary'!#REF!</f>
        <v>#REF!</v>
      </c>
      <c r="G53" s="6">
        <v>3327</v>
      </c>
      <c r="I53" s="6" t="e">
        <f>'P&amp;L Summary'!#REF!</f>
        <v>#REF!</v>
      </c>
      <c r="J53" s="9"/>
      <c r="K53" s="6">
        <f t="shared" si="0"/>
        <v>0</v>
      </c>
      <c r="L53" s="9"/>
    </row>
    <row r="54" spans="1:12" ht="12.75">
      <c r="A54" s="60" t="str">
        <f>'P&amp;L Details'!A62</f>
        <v>Depreciation Charge</v>
      </c>
      <c r="D54" s="9">
        <f>'Budget Details'!M54</f>
        <v>4932</v>
      </c>
      <c r="F54" s="6">
        <f>'P&amp;L Summary'!C67</f>
        <v>25564</v>
      </c>
      <c r="I54" s="6" t="e">
        <f>'P&amp;L Summary'!#REF!</f>
        <v>#REF!</v>
      </c>
      <c r="J54" s="9"/>
      <c r="K54" s="6">
        <f t="shared" si="0"/>
        <v>1233</v>
      </c>
      <c r="L54" s="9"/>
    </row>
    <row r="56" spans="1:9" ht="12.75">
      <c r="A56" s="7" t="s">
        <v>1</v>
      </c>
      <c r="B56" s="7"/>
      <c r="C56" s="7"/>
      <c r="D56" s="8">
        <f>SUM(D25:D55)</f>
        <v>363096</v>
      </c>
      <c r="E56" s="7"/>
      <c r="F56" s="8" t="e">
        <f>SUM(F25:F55)</f>
        <v>#REF!</v>
      </c>
      <c r="G56" s="8">
        <f>SUM(G25:G53)</f>
        <v>466420</v>
      </c>
      <c r="I56" s="8" t="e">
        <f>SUM(I25:I55)</f>
        <v>#REF!</v>
      </c>
    </row>
    <row r="57" ht="12.75">
      <c r="D57" s="6"/>
    </row>
    <row r="58" spans="1:9" ht="13.5" thickBot="1">
      <c r="A58" s="7" t="s">
        <v>181</v>
      </c>
      <c r="B58" s="7"/>
      <c r="C58" s="7"/>
      <c r="D58" s="10">
        <f>D22-D56</f>
        <v>-36264</v>
      </c>
      <c r="E58" s="7"/>
      <c r="F58" s="10" t="e">
        <f>F22-F56</f>
        <v>#REF!</v>
      </c>
      <c r="G58" s="10">
        <f>G22-G56</f>
        <v>1719</v>
      </c>
      <c r="I58" s="10" t="e">
        <f>I22-I56</f>
        <v>#REF!</v>
      </c>
    </row>
    <row r="59" ht="13.5" thickTop="1"/>
  </sheetData>
  <sheetProtection/>
  <mergeCells count="4">
    <mergeCell ref="B1:I1"/>
    <mergeCell ref="B2:I2"/>
    <mergeCell ref="B3:I3"/>
    <mergeCell ref="B4:I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0"/>
  <headerFooter alignWithMargins="0">
    <oddFooter>&amp;C&amp;P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8"/>
  <sheetViews>
    <sheetView workbookViewId="0" topLeftCell="A1">
      <selection activeCell="D25" sqref="D25"/>
    </sheetView>
  </sheetViews>
  <sheetFormatPr defaultColWidth="9.140625" defaultRowHeight="12.75"/>
  <cols>
    <col min="1" max="1" width="25.140625" style="2" customWidth="1"/>
    <col min="2" max="2" width="2.00390625" style="2" customWidth="1"/>
    <col min="3" max="3" width="2.421875" style="2" customWidth="1"/>
    <col min="4" max="4" width="16.421875" style="2" customWidth="1"/>
    <col min="5" max="5" width="1.8515625" style="2" customWidth="1"/>
    <col min="6" max="6" width="16.28125" style="6" customWidth="1"/>
    <col min="7" max="7" width="14.28125" style="6" hidden="1" customWidth="1"/>
    <col min="8" max="8" width="1.8515625" style="2" customWidth="1"/>
    <col min="9" max="9" width="15.8515625" style="2" customWidth="1"/>
    <col min="10" max="10" width="1.8515625" style="2" customWidth="1"/>
    <col min="11" max="11" width="10.421875" style="2" customWidth="1"/>
    <col min="12" max="12" width="9.140625" style="2" customWidth="1"/>
    <col min="13" max="13" width="11.421875" style="2" bestFit="1" customWidth="1"/>
    <col min="14" max="16384" width="9.140625" style="2" customWidth="1"/>
  </cols>
  <sheetData>
    <row r="1" spans="1:11" ht="18" customHeight="1">
      <c r="A1" s="18"/>
      <c r="B1" s="222" t="s">
        <v>20</v>
      </c>
      <c r="C1" s="223"/>
      <c r="D1" s="223"/>
      <c r="E1" s="223"/>
      <c r="F1" s="223"/>
      <c r="G1" s="223"/>
      <c r="H1" s="223"/>
      <c r="I1" s="223"/>
      <c r="J1" s="223"/>
      <c r="K1" s="224"/>
    </row>
    <row r="2" spans="1:11" ht="19.5">
      <c r="A2" s="16"/>
      <c r="B2" s="225"/>
      <c r="C2" s="226"/>
      <c r="D2" s="226"/>
      <c r="E2" s="226"/>
      <c r="F2" s="226"/>
      <c r="G2" s="226"/>
      <c r="H2" s="226"/>
      <c r="I2" s="226"/>
      <c r="J2" s="226"/>
      <c r="K2" s="227"/>
    </row>
    <row r="3" spans="1:11" ht="8.25" customHeight="1">
      <c r="A3" s="16"/>
      <c r="B3" s="189"/>
      <c r="C3" s="228"/>
      <c r="D3" s="228"/>
      <c r="E3" s="228"/>
      <c r="F3" s="228"/>
      <c r="G3" s="228"/>
      <c r="H3" s="228"/>
      <c r="I3" s="228"/>
      <c r="J3" s="228"/>
      <c r="K3" s="229"/>
    </row>
    <row r="4" spans="1:11" ht="20.25" thickBot="1">
      <c r="A4" s="19"/>
      <c r="B4" s="230" t="s">
        <v>177</v>
      </c>
      <c r="C4" s="231"/>
      <c r="D4" s="231"/>
      <c r="E4" s="231"/>
      <c r="F4" s="231"/>
      <c r="G4" s="231"/>
      <c r="H4" s="231"/>
      <c r="I4" s="231"/>
      <c r="J4" s="231"/>
      <c r="K4" s="232"/>
    </row>
    <row r="5" ht="7.5" customHeight="1" thickBot="1"/>
    <row r="6" spans="4:11" ht="12.75">
      <c r="D6" s="51" t="s">
        <v>9</v>
      </c>
      <c r="F6" s="51" t="s">
        <v>174</v>
      </c>
      <c r="G6" s="4" t="s">
        <v>9</v>
      </c>
      <c r="I6" s="51"/>
      <c r="K6" s="51"/>
    </row>
    <row r="7" spans="3:11" ht="12.75">
      <c r="C7" s="3"/>
      <c r="D7" s="50" t="s">
        <v>163</v>
      </c>
      <c r="F7" s="48" t="s">
        <v>175</v>
      </c>
      <c r="G7" s="4" t="s">
        <v>10</v>
      </c>
      <c r="I7" s="48" t="s">
        <v>11</v>
      </c>
      <c r="K7" s="48" t="s">
        <v>11</v>
      </c>
    </row>
    <row r="8" spans="4:11" ht="13.5" thickBot="1">
      <c r="D8" s="49" t="s">
        <v>7</v>
      </c>
      <c r="F8" s="52" t="s">
        <v>7</v>
      </c>
      <c r="G8" s="4" t="s">
        <v>7</v>
      </c>
      <c r="I8" s="52" t="s">
        <v>7</v>
      </c>
      <c r="K8" s="52" t="s">
        <v>176</v>
      </c>
    </row>
    <row r="9" ht="8.25" customHeight="1"/>
    <row r="10" spans="1:3" ht="12.75">
      <c r="A10" s="5" t="s">
        <v>8</v>
      </c>
      <c r="B10" s="5"/>
      <c r="C10" s="5"/>
    </row>
    <row r="11" spans="1:14" ht="12.75">
      <c r="A11" s="2" t="str">
        <f>'P&amp;L Details'!A12</f>
        <v>CPP Income</v>
      </c>
      <c r="D11" s="6">
        <f>'Budget Details'!M11</f>
        <v>255444</v>
      </c>
      <c r="F11" s="6">
        <f>'P&amp;L Summary'!C12</f>
        <v>336626</v>
      </c>
      <c r="G11" s="6">
        <f>374259+11500</f>
        <v>385759</v>
      </c>
      <c r="I11" s="6">
        <f aca="true" t="shared" si="0" ref="I11:I20">D11-F11</f>
        <v>-81182</v>
      </c>
      <c r="K11" s="83">
        <f>I11/F11</f>
        <v>-0.2411637841402625</v>
      </c>
      <c r="M11" s="6"/>
      <c r="N11" s="9"/>
    </row>
    <row r="12" spans="1:14" ht="12.75">
      <c r="A12" s="2" t="str">
        <f>'P&amp;L Details'!A13</f>
        <v>Dublin City Council- Dublin House</v>
      </c>
      <c r="D12" s="6">
        <f>'Budget Details'!M12</f>
        <v>42660</v>
      </c>
      <c r="F12" s="6">
        <f>'P&amp;L Summary'!C13</f>
        <v>226382</v>
      </c>
      <c r="G12" s="6">
        <v>42665</v>
      </c>
      <c r="I12" s="12">
        <f t="shared" si="0"/>
        <v>-183722</v>
      </c>
      <c r="K12" s="83">
        <f aca="true" t="shared" si="1" ref="K12:K20">I12/F12</f>
        <v>-0.8115574559814827</v>
      </c>
      <c r="M12" s="6"/>
      <c r="N12" s="9"/>
    </row>
    <row r="13" spans="1:14" ht="12.75">
      <c r="A13" s="2" t="e">
        <f>'P&amp;L Details'!#REF!</f>
        <v>#REF!</v>
      </c>
      <c r="D13" s="6">
        <f>'Budget Details'!M13</f>
        <v>9756</v>
      </c>
      <c r="F13" s="6" t="e">
        <f>'P&amp;L Summary'!#REF!</f>
        <v>#REF!</v>
      </c>
      <c r="G13" s="6">
        <v>11461</v>
      </c>
      <c r="I13" s="6" t="e">
        <f t="shared" si="0"/>
        <v>#REF!</v>
      </c>
      <c r="K13" s="83" t="e">
        <f t="shared" si="1"/>
        <v>#REF!</v>
      </c>
      <c r="M13" s="6"/>
      <c r="N13" s="9"/>
    </row>
    <row r="14" spans="1:14" ht="12.75">
      <c r="A14" s="2" t="str">
        <f>'P&amp;L Details'!A14</f>
        <v>Donations and Subscriptions </v>
      </c>
      <c r="D14" s="6">
        <f>'Budget Details'!M14</f>
        <v>2568</v>
      </c>
      <c r="F14" s="6">
        <f>'P&amp;L Summary'!C14</f>
        <v>2325</v>
      </c>
      <c r="G14" s="6">
        <f>19280</f>
        <v>19280</v>
      </c>
      <c r="I14" s="6">
        <f t="shared" si="0"/>
        <v>243</v>
      </c>
      <c r="K14" s="83">
        <f t="shared" si="1"/>
        <v>0.10451612903225807</v>
      </c>
      <c r="M14" s="6"/>
      <c r="N14" s="9"/>
    </row>
    <row r="15" spans="1:14" ht="12.75">
      <c r="A15" s="2" t="str">
        <f>'P&amp;L Details'!A15</f>
        <v>Tusla SLA</v>
      </c>
      <c r="D15" s="6">
        <f>'Budget Details'!M15</f>
        <v>11292</v>
      </c>
      <c r="F15" s="6">
        <f>'P&amp;L Summary'!C16</f>
        <v>7500</v>
      </c>
      <c r="G15" s="6">
        <v>719</v>
      </c>
      <c r="I15" s="12">
        <f t="shared" si="0"/>
        <v>3792</v>
      </c>
      <c r="K15" s="83">
        <f t="shared" si="1"/>
        <v>0.5056</v>
      </c>
      <c r="M15" s="6"/>
      <c r="N15" s="9"/>
    </row>
    <row r="16" spans="1:14" ht="12.75">
      <c r="A16" s="2" t="str">
        <f>'P&amp;L Details'!A16</f>
        <v>Grant income</v>
      </c>
      <c r="D16" s="6">
        <f>'Budget Details'!M16</f>
        <v>0</v>
      </c>
      <c r="F16" s="6">
        <f>'P&amp;L Summary'!C17</f>
        <v>4372</v>
      </c>
      <c r="G16" s="6">
        <v>577</v>
      </c>
      <c r="I16" s="6">
        <f t="shared" si="0"/>
        <v>-4372</v>
      </c>
      <c r="K16" s="83">
        <f t="shared" si="1"/>
        <v>-1</v>
      </c>
      <c r="M16" s="6"/>
      <c r="N16" s="9"/>
    </row>
    <row r="17" spans="1:14" ht="12.75">
      <c r="A17" s="2" t="str">
        <f>'P&amp;L Details'!A17</f>
        <v>Rental Income Accommodation Service</v>
      </c>
      <c r="D17" s="6">
        <f>'Budget Details'!M17</f>
        <v>0</v>
      </c>
      <c r="F17" s="6">
        <f>'P&amp;L Summary'!C21</f>
        <v>129200</v>
      </c>
      <c r="G17" s="6">
        <v>0</v>
      </c>
      <c r="I17" s="6">
        <f t="shared" si="0"/>
        <v>-129200</v>
      </c>
      <c r="K17" s="83">
        <f t="shared" si="1"/>
        <v>-1</v>
      </c>
      <c r="M17" s="6"/>
      <c r="N17" s="9"/>
    </row>
    <row r="18" spans="1:14" ht="12.75">
      <c r="A18" s="2" t="str">
        <f>'P&amp;L Details'!A18</f>
        <v>Floating Support Rent</v>
      </c>
      <c r="D18" s="6">
        <f>'Budget Details'!M18</f>
        <v>5004</v>
      </c>
      <c r="F18" s="6">
        <f>'P&amp;L Summary'!C22</f>
        <v>19097</v>
      </c>
      <c r="G18" s="6">
        <v>5075</v>
      </c>
      <c r="I18" s="12">
        <f t="shared" si="0"/>
        <v>-14093</v>
      </c>
      <c r="K18" s="83">
        <f t="shared" si="1"/>
        <v>-0.7379693145520239</v>
      </c>
      <c r="M18" s="6"/>
      <c r="N18" s="9"/>
    </row>
    <row r="19" spans="1:14" ht="12.75">
      <c r="A19" s="2" t="e">
        <f>'P&amp;L Details'!#REF!</f>
        <v>#REF!</v>
      </c>
      <c r="D19" s="6">
        <f>'Budget Details'!M19</f>
        <v>0</v>
      </c>
      <c r="F19" s="6" t="e">
        <f>'P&amp;L Summary'!#REF!</f>
        <v>#REF!</v>
      </c>
      <c r="G19" s="6">
        <v>2603</v>
      </c>
      <c r="I19" s="6" t="e">
        <f t="shared" si="0"/>
        <v>#REF!</v>
      </c>
      <c r="K19" s="83" t="e">
        <f t="shared" si="1"/>
        <v>#REF!</v>
      </c>
      <c r="M19" s="6"/>
      <c r="N19" s="9"/>
    </row>
    <row r="20" spans="1:14" ht="12.75">
      <c r="A20" s="2" t="e">
        <f>'P&amp;L Details'!#REF!</f>
        <v>#REF!</v>
      </c>
      <c r="D20" s="6">
        <f>'Budget Details'!M20</f>
        <v>108</v>
      </c>
      <c r="F20" s="6">
        <f>'P&amp;L Summary'!C23</f>
        <v>3000</v>
      </c>
      <c r="I20" s="12">
        <f t="shared" si="0"/>
        <v>-2892</v>
      </c>
      <c r="K20" s="83">
        <f t="shared" si="1"/>
        <v>-0.964</v>
      </c>
      <c r="M20" s="6"/>
      <c r="N20" s="9"/>
    </row>
    <row r="21" spans="4:11" ht="12.75">
      <c r="D21" s="6"/>
      <c r="I21" s="6"/>
      <c r="K21" s="6"/>
    </row>
    <row r="22" spans="1:11" ht="12.75">
      <c r="A22" s="7" t="s">
        <v>6</v>
      </c>
      <c r="B22" s="7"/>
      <c r="C22" s="7"/>
      <c r="D22" s="8">
        <f>SUM(D11:D20)</f>
        <v>326832</v>
      </c>
      <c r="E22" s="7"/>
      <c r="F22" s="8" t="e">
        <f>SUM(F11:F20)</f>
        <v>#REF!</v>
      </c>
      <c r="G22" s="8">
        <f>SUM(G11:G19)</f>
        <v>468139</v>
      </c>
      <c r="I22" s="8" t="e">
        <f>SUM(I11:I20)</f>
        <v>#REF!</v>
      </c>
      <c r="K22" s="85" t="e">
        <f>I22/F22</f>
        <v>#REF!</v>
      </c>
    </row>
    <row r="23" spans="9:11" ht="12.75">
      <c r="I23" s="6"/>
      <c r="K23" s="6"/>
    </row>
    <row r="24" spans="1:11" ht="12.75">
      <c r="A24" s="5" t="s">
        <v>0</v>
      </c>
      <c r="B24" s="5"/>
      <c r="C24" s="5"/>
      <c r="I24" s="6"/>
      <c r="K24" s="6"/>
    </row>
    <row r="25" spans="1:14" ht="12.75">
      <c r="A25" s="2" t="str">
        <f>'P&amp;L Details'!A26</f>
        <v>Staff Salaries</v>
      </c>
      <c r="D25" s="9">
        <f>'Budget Details'!M25</f>
        <v>262380</v>
      </c>
      <c r="F25" s="6">
        <f>'P&amp;L Summary'!C29</f>
        <v>514247</v>
      </c>
      <c r="G25" s="6">
        <f>194186-G26+9183</f>
        <v>184520</v>
      </c>
      <c r="I25" s="6">
        <f>D25-F25</f>
        <v>-251867</v>
      </c>
      <c r="K25" s="83">
        <f>I25/F25</f>
        <v>-0.48977825830777816</v>
      </c>
      <c r="L25" s="9"/>
      <c r="M25" s="6"/>
      <c r="N25" s="9"/>
    </row>
    <row r="26" spans="1:14" ht="12.75">
      <c r="A26" s="2" t="str">
        <f>'P&amp;L Details'!A27</f>
        <v>Employers PRSI</v>
      </c>
      <c r="D26" s="9">
        <f>'Budget Details'!M26</f>
        <v>0</v>
      </c>
      <c r="F26" s="6">
        <f>'P&amp;L Summary'!C30</f>
        <v>46648</v>
      </c>
      <c r="G26" s="6">
        <v>18849</v>
      </c>
      <c r="I26" s="6">
        <f aca="true" t="shared" si="2" ref="I26:I54">D26-F26</f>
        <v>-46648</v>
      </c>
      <c r="K26" s="83">
        <f aca="true" t="shared" si="3" ref="K26:K53">I26/F26</f>
        <v>-1</v>
      </c>
      <c r="L26" s="9"/>
      <c r="M26" s="6"/>
      <c r="N26" s="9"/>
    </row>
    <row r="27" spans="1:14" ht="12.75">
      <c r="A27" s="2" t="s">
        <v>173</v>
      </c>
      <c r="D27" s="9">
        <f>'Budget Details'!M27</f>
        <v>0</v>
      </c>
      <c r="F27" s="6">
        <v>0</v>
      </c>
      <c r="I27" s="6">
        <f t="shared" si="2"/>
        <v>0</v>
      </c>
      <c r="K27" s="84" t="s">
        <v>135</v>
      </c>
      <c r="L27" s="9"/>
      <c r="M27" s="6"/>
      <c r="N27" s="9"/>
    </row>
    <row r="28" spans="1:14" ht="12.75">
      <c r="A28" s="2" t="str">
        <f>'P&amp;L Details'!A29</f>
        <v>Staff Pension</v>
      </c>
      <c r="D28" s="9">
        <f>'Budget Details'!M28</f>
        <v>0</v>
      </c>
      <c r="F28" s="6">
        <f>'P&amp;L Summary'!C31</f>
        <v>4890</v>
      </c>
      <c r="I28" s="6">
        <f t="shared" si="2"/>
        <v>-4890</v>
      </c>
      <c r="K28" s="83">
        <f t="shared" si="3"/>
        <v>-1</v>
      </c>
      <c r="L28" s="9"/>
      <c r="M28" s="6"/>
      <c r="N28" s="9"/>
    </row>
    <row r="29" spans="1:14" s="60" customFormat="1" ht="12.75">
      <c r="A29" s="2" t="str">
        <f>'P&amp;L Details'!A30</f>
        <v>Recruitment</v>
      </c>
      <c r="D29" s="9">
        <f>'Budget Details'!M29</f>
        <v>0</v>
      </c>
      <c r="F29" s="6">
        <f>'P&amp;L Summary'!C32</f>
        <v>0</v>
      </c>
      <c r="G29" s="61">
        <v>9079</v>
      </c>
      <c r="I29" s="12">
        <f t="shared" si="2"/>
        <v>0</v>
      </c>
      <c r="K29" s="83" t="e">
        <f t="shared" si="3"/>
        <v>#DIV/0!</v>
      </c>
      <c r="L29" s="9"/>
      <c r="M29" s="6"/>
      <c r="N29" s="9"/>
    </row>
    <row r="30" spans="1:14" ht="12.75">
      <c r="A30" s="2" t="str">
        <f>'P&amp;L Details'!A31</f>
        <v>Staff Training</v>
      </c>
      <c r="D30" s="9">
        <f>'Budget Details'!M30</f>
        <v>10200</v>
      </c>
      <c r="F30" s="6">
        <f>'P&amp;L Summary'!C33</f>
        <v>3293</v>
      </c>
      <c r="G30" s="6">
        <v>0</v>
      </c>
      <c r="I30" s="6">
        <f t="shared" si="2"/>
        <v>6907</v>
      </c>
      <c r="K30" s="83">
        <f t="shared" si="3"/>
        <v>2.097479501973884</v>
      </c>
      <c r="L30" s="9"/>
      <c r="M30" s="6"/>
      <c r="N30" s="9"/>
    </row>
    <row r="31" spans="1:14" ht="12.75">
      <c r="A31" s="2" t="str">
        <f>'P&amp;L Details'!A32</f>
        <v>Supervision Expenses</v>
      </c>
      <c r="D31" s="9">
        <f>'Budget Details'!M31</f>
        <v>0</v>
      </c>
      <c r="F31" s="6">
        <f>'P&amp;L Summary'!C35</f>
        <v>2770</v>
      </c>
      <c r="G31" s="6">
        <f>14153-G33</f>
        <v>10153</v>
      </c>
      <c r="I31" s="12">
        <f t="shared" si="2"/>
        <v>-2770</v>
      </c>
      <c r="K31" s="83">
        <f t="shared" si="3"/>
        <v>-1</v>
      </c>
      <c r="L31" s="9"/>
      <c r="M31" s="6"/>
      <c r="N31" s="9"/>
    </row>
    <row r="32" spans="1:14" ht="12.75">
      <c r="A32" s="2" t="str">
        <f>'P&amp;L Details'!A33</f>
        <v>Tuition Fees</v>
      </c>
      <c r="D32" s="9">
        <f>'Budget Details'!M32</f>
        <v>0</v>
      </c>
      <c r="F32" s="6" t="e">
        <f>'P&amp;L Summary'!#REF!</f>
        <v>#REF!</v>
      </c>
      <c r="G32" s="6">
        <v>9725</v>
      </c>
      <c r="I32" s="12" t="e">
        <f t="shared" si="2"/>
        <v>#REF!</v>
      </c>
      <c r="K32" s="83" t="e">
        <f t="shared" si="3"/>
        <v>#REF!</v>
      </c>
      <c r="L32" s="9"/>
      <c r="M32" s="6"/>
      <c r="N32" s="9"/>
    </row>
    <row r="33" spans="1:14" ht="12.75">
      <c r="A33" s="2" t="e">
        <f>'P&amp;L Details'!#REF!</f>
        <v>#REF!</v>
      </c>
      <c r="D33" s="9">
        <f>'Budget Details'!M33</f>
        <v>1236</v>
      </c>
      <c r="F33" s="6" t="e">
        <f>'P&amp;L Summary'!#REF!</f>
        <v>#REF!</v>
      </c>
      <c r="G33" s="6">
        <v>4000</v>
      </c>
      <c r="I33" s="6" t="e">
        <f t="shared" si="2"/>
        <v>#REF!</v>
      </c>
      <c r="K33" s="83" t="e">
        <f t="shared" si="3"/>
        <v>#REF!</v>
      </c>
      <c r="L33" s="9"/>
      <c r="M33" s="6"/>
      <c r="N33" s="9"/>
    </row>
    <row r="34" spans="1:14" ht="12.75">
      <c r="A34" s="2" t="str">
        <f>'P&amp;L Details'!A34</f>
        <v>Board Meeting Expenses</v>
      </c>
      <c r="D34" s="9">
        <f>'Budget Details'!M34</f>
        <v>0</v>
      </c>
      <c r="F34" s="6">
        <f>'P&amp;L Summary'!C36</f>
        <v>3375</v>
      </c>
      <c r="G34" s="6">
        <v>537</v>
      </c>
      <c r="I34" s="6">
        <f t="shared" si="2"/>
        <v>-3375</v>
      </c>
      <c r="K34" s="83">
        <f t="shared" si="3"/>
        <v>-1</v>
      </c>
      <c r="L34" s="9"/>
      <c r="M34" s="6"/>
      <c r="N34" s="9"/>
    </row>
    <row r="35" spans="1:14" ht="12.75">
      <c r="A35" s="2" t="str">
        <f>'P&amp;L Details'!A35</f>
        <v>Conference Costs</v>
      </c>
      <c r="D35" s="9">
        <f>'Budget Details'!M35</f>
        <v>660</v>
      </c>
      <c r="F35" s="6">
        <f>'P&amp;L Summary'!C37</f>
        <v>222</v>
      </c>
      <c r="G35" s="6">
        <v>0</v>
      </c>
      <c r="I35" s="6">
        <f t="shared" si="2"/>
        <v>438</v>
      </c>
      <c r="K35" s="83">
        <f t="shared" si="3"/>
        <v>1.972972972972973</v>
      </c>
      <c r="L35" s="9"/>
      <c r="M35" s="6"/>
      <c r="N35" s="9"/>
    </row>
    <row r="36" spans="1:14" ht="12.75">
      <c r="A36" s="2" t="str">
        <f>'P&amp;L Details'!A36</f>
        <v>Rent, rates &amp; facilities mgt</v>
      </c>
      <c r="D36" s="9">
        <f>'Budget Details'!M36</f>
        <v>36060</v>
      </c>
      <c r="F36" s="6">
        <f>'P&amp;L Summary'!C38</f>
        <v>46102</v>
      </c>
      <c r="G36" s="6">
        <v>0</v>
      </c>
      <c r="I36" s="6">
        <f t="shared" si="2"/>
        <v>-10042</v>
      </c>
      <c r="K36" s="83">
        <f t="shared" si="3"/>
        <v>-0.21782135265281333</v>
      </c>
      <c r="L36" s="9"/>
      <c r="M36" s="6"/>
      <c r="N36" s="9"/>
    </row>
    <row r="37" spans="1:14" ht="12.75">
      <c r="A37" s="2" t="str">
        <f>'P&amp;L Details'!A37</f>
        <v>Heat and Light &amp; cleaning</v>
      </c>
      <c r="D37" s="9">
        <f>'Budget Details'!M37</f>
        <v>7704</v>
      </c>
      <c r="F37" s="6">
        <f>'P&amp;L Summary'!C39</f>
        <v>9058</v>
      </c>
      <c r="G37" s="6">
        <f>59896+1748</f>
        <v>61644</v>
      </c>
      <c r="I37" s="6">
        <f t="shared" si="2"/>
        <v>-1354</v>
      </c>
      <c r="K37" s="83">
        <f t="shared" si="3"/>
        <v>-0.1494811216604107</v>
      </c>
      <c r="L37" s="9"/>
      <c r="M37" s="6"/>
      <c r="N37" s="9"/>
    </row>
    <row r="38" spans="1:14" ht="12.75">
      <c r="A38" s="2" t="str">
        <f>'P&amp;L Details'!A38</f>
        <v>Staff/Volumteer event costs</v>
      </c>
      <c r="D38" s="9">
        <f>'Budget Details'!M38</f>
        <v>804</v>
      </c>
      <c r="F38" s="6">
        <f>'P&amp;L Summary'!C40</f>
        <v>1209</v>
      </c>
      <c r="G38" s="6">
        <f>5226+2183</f>
        <v>7409</v>
      </c>
      <c r="I38" s="6">
        <f t="shared" si="2"/>
        <v>-405</v>
      </c>
      <c r="K38" s="83">
        <f t="shared" si="3"/>
        <v>-0.3349875930521092</v>
      </c>
      <c r="L38" s="9"/>
      <c r="M38" s="6"/>
      <c r="N38" s="9"/>
    </row>
    <row r="39" spans="1:14" ht="12.75">
      <c r="A39" s="2" t="str">
        <f>'P&amp;L Details'!A39</f>
        <v>Promotional Literature</v>
      </c>
      <c r="D39" s="9">
        <f>'Budget Details'!M39</f>
        <v>3096</v>
      </c>
      <c r="F39" s="6" t="e">
        <f>'P&amp;L Summary'!#REF!</f>
        <v>#REF!</v>
      </c>
      <c r="G39" s="6">
        <f>157+510+6637</f>
        <v>7304</v>
      </c>
      <c r="I39" s="6" t="e">
        <f t="shared" si="2"/>
        <v>#REF!</v>
      </c>
      <c r="K39" s="83" t="e">
        <f t="shared" si="3"/>
        <v>#REF!</v>
      </c>
      <c r="L39" s="9"/>
      <c r="M39" s="6"/>
      <c r="N39" s="9"/>
    </row>
    <row r="40" spans="1:14" ht="12.75">
      <c r="A40" s="2" t="str">
        <f>'P&amp;L Details'!A42</f>
        <v>Repairs</v>
      </c>
      <c r="D40" s="9">
        <f>'Budget Details'!M40</f>
        <v>2496</v>
      </c>
      <c r="F40" s="6">
        <f>'P&amp;L Summary'!C41</f>
        <v>6413</v>
      </c>
      <c r="G40" s="6">
        <v>1282</v>
      </c>
      <c r="I40" s="12">
        <f t="shared" si="2"/>
        <v>-3917</v>
      </c>
      <c r="K40" s="83">
        <f t="shared" si="3"/>
        <v>-0.6107905816310619</v>
      </c>
      <c r="L40" s="9"/>
      <c r="M40" s="6"/>
      <c r="N40" s="9"/>
    </row>
    <row r="41" spans="1:14" ht="12.75">
      <c r="A41" s="2" t="str">
        <f>'P&amp;L Details'!A43</f>
        <v>Computer Costs</v>
      </c>
      <c r="D41" s="9">
        <f>'Budget Details'!M41</f>
        <v>600</v>
      </c>
      <c r="F41" s="6">
        <f>'P&amp;L Summary'!C43</f>
        <v>15349</v>
      </c>
      <c r="G41" s="6">
        <f>831+5842</f>
        <v>6673</v>
      </c>
      <c r="I41" s="6">
        <f t="shared" si="2"/>
        <v>-14749</v>
      </c>
      <c r="K41" s="83">
        <f t="shared" si="3"/>
        <v>-0.9609095055052447</v>
      </c>
      <c r="L41" s="9"/>
      <c r="M41" s="6"/>
      <c r="N41" s="9"/>
    </row>
    <row r="42" spans="1:14" ht="12.75">
      <c r="A42" s="2" t="str">
        <f>'P&amp;L Details'!A45</f>
        <v>Printing , stationery, postage</v>
      </c>
      <c r="D42" s="9">
        <f>'Budget Details'!M42</f>
        <v>5448</v>
      </c>
      <c r="F42" s="6">
        <f>'P&amp;L Summary'!C44</f>
        <v>2023</v>
      </c>
      <c r="G42" s="6">
        <f>1979+513</f>
        <v>2492</v>
      </c>
      <c r="I42" s="12">
        <f t="shared" si="2"/>
        <v>3425</v>
      </c>
      <c r="K42" s="83">
        <f t="shared" si="3"/>
        <v>1.6930301532377656</v>
      </c>
      <c r="L42" s="9"/>
      <c r="M42" s="6"/>
      <c r="N42" s="9"/>
    </row>
    <row r="43" spans="1:14" ht="12.75">
      <c r="A43" s="2" t="str">
        <f>'P&amp;L Details'!A46</f>
        <v>Telephone and Internet</v>
      </c>
      <c r="D43" s="9">
        <f>'Budget Details'!M43</f>
        <v>5652</v>
      </c>
      <c r="F43" s="6">
        <f>'P&amp;L Summary'!C45</f>
        <v>9243</v>
      </c>
      <c r="G43" s="6">
        <v>3975</v>
      </c>
      <c r="I43" s="12">
        <f t="shared" si="2"/>
        <v>-3591</v>
      </c>
      <c r="K43" s="83">
        <f t="shared" si="3"/>
        <v>-0.3885102239532619</v>
      </c>
      <c r="L43" s="9"/>
      <c r="M43" s="6"/>
      <c r="N43" s="9"/>
    </row>
    <row r="44" spans="1:14" ht="12.75">
      <c r="A44" s="2" t="str">
        <f>'P&amp;L Details'!A47</f>
        <v>Bank Charges</v>
      </c>
      <c r="D44" s="9">
        <f>'Budget Details'!M44</f>
        <v>264</v>
      </c>
      <c r="F44" s="6">
        <f>'P&amp;L Summary'!C46</f>
        <v>909</v>
      </c>
      <c r="G44" s="6">
        <f>13337+1292</f>
        <v>14629</v>
      </c>
      <c r="I44" s="6">
        <f t="shared" si="2"/>
        <v>-645</v>
      </c>
      <c r="K44" s="83">
        <f t="shared" si="3"/>
        <v>-0.7095709570957096</v>
      </c>
      <c r="L44" s="9"/>
      <c r="M44" s="6"/>
      <c r="N44" s="9"/>
    </row>
    <row r="45" spans="1:14" ht="12.75">
      <c r="A45" s="2" t="str">
        <f>'P&amp;L Details'!A48</f>
        <v>Insurance</v>
      </c>
      <c r="D45" s="9">
        <f>'Budget Details'!M45</f>
        <v>0</v>
      </c>
      <c r="F45" s="6">
        <f>'P&amp;L Summary'!C48</f>
        <v>15393</v>
      </c>
      <c r="G45" s="6">
        <v>423</v>
      </c>
      <c r="I45" s="12">
        <f t="shared" si="2"/>
        <v>-15393</v>
      </c>
      <c r="K45" s="83">
        <f t="shared" si="3"/>
        <v>-1</v>
      </c>
      <c r="L45" s="9"/>
      <c r="M45" s="6"/>
      <c r="N45" s="9"/>
    </row>
    <row r="46" spans="1:14" ht="12.75">
      <c r="A46" s="2" t="e">
        <f>'P&amp;L Details'!#REF!</f>
        <v>#REF!</v>
      </c>
      <c r="D46" s="9">
        <f>'Budget Details'!M46</f>
        <v>2256</v>
      </c>
      <c r="F46" s="6">
        <f>'P&amp;L Summary'!C49</f>
        <v>7950</v>
      </c>
      <c r="G46" s="6">
        <f>530+12783</f>
        <v>13313</v>
      </c>
      <c r="I46" s="6">
        <f t="shared" si="2"/>
        <v>-5694</v>
      </c>
      <c r="K46" s="83">
        <f t="shared" si="3"/>
        <v>-0.7162264150943396</v>
      </c>
      <c r="L46" s="9"/>
      <c r="M46" s="6"/>
      <c r="N46" s="9"/>
    </row>
    <row r="47" spans="1:14" ht="12.75">
      <c r="A47" s="60" t="str">
        <f>'P&amp;L Details'!A57</f>
        <v>Travel and Subsistence</v>
      </c>
      <c r="D47" s="9">
        <f>'Budget Details'!M47</f>
        <v>8304</v>
      </c>
      <c r="F47" s="6">
        <f>'P&amp;L Summary'!C59</f>
        <v>15626</v>
      </c>
      <c r="G47" s="6">
        <f>4758+416+9000+245</f>
        <v>14419</v>
      </c>
      <c r="I47" s="12">
        <f t="shared" si="2"/>
        <v>-7322</v>
      </c>
      <c r="K47" s="83">
        <f t="shared" si="3"/>
        <v>-0.4685780110072955</v>
      </c>
      <c r="L47" s="9"/>
      <c r="M47" s="6"/>
      <c r="N47" s="9"/>
    </row>
    <row r="48" spans="1:14" ht="12.75">
      <c r="A48" s="60" t="str">
        <f>'P&amp;L Details'!A58</f>
        <v>Membership and Subscriptions</v>
      </c>
      <c r="D48" s="9">
        <f>'Budget Details'!M48</f>
        <v>1248</v>
      </c>
      <c r="F48" s="6">
        <f>'P&amp;L Summary'!C60</f>
        <v>3181</v>
      </c>
      <c r="G48" s="6">
        <f>8058+902</f>
        <v>8960</v>
      </c>
      <c r="I48" s="12">
        <f t="shared" si="2"/>
        <v>-1933</v>
      </c>
      <c r="K48" s="83">
        <f t="shared" si="3"/>
        <v>-0.6076705438541339</v>
      </c>
      <c r="L48" s="9"/>
      <c r="M48" s="6"/>
      <c r="N48" s="9"/>
    </row>
    <row r="49" spans="1:14" ht="12.75">
      <c r="A49" s="60" t="str">
        <f>'P&amp;L Details'!A59</f>
        <v>Advertising </v>
      </c>
      <c r="D49" s="9">
        <f>'Budget Details'!M49</f>
        <v>9756</v>
      </c>
      <c r="F49" s="6">
        <f>'P&amp;L Summary'!C62</f>
        <v>480</v>
      </c>
      <c r="G49" s="6">
        <v>0</v>
      </c>
      <c r="I49" s="6">
        <f t="shared" si="2"/>
        <v>9276</v>
      </c>
      <c r="K49" s="83">
        <f t="shared" si="3"/>
        <v>19.325</v>
      </c>
      <c r="L49" s="9"/>
      <c r="M49" s="6"/>
      <c r="N49" s="9"/>
    </row>
    <row r="50" spans="1:14" ht="12.75">
      <c r="A50" s="60" t="e">
        <f>'P&amp;L Details'!#REF!</f>
        <v>#REF!</v>
      </c>
      <c r="D50" s="9">
        <f>'Budget Details'!M50</f>
        <v>0</v>
      </c>
      <c r="F50" s="6">
        <f>'P&amp;L Summary'!C63</f>
        <v>4616</v>
      </c>
      <c r="G50" s="6">
        <v>67191</v>
      </c>
      <c r="I50" s="12">
        <f t="shared" si="2"/>
        <v>-4616</v>
      </c>
      <c r="K50" s="83">
        <f t="shared" si="3"/>
        <v>-1</v>
      </c>
      <c r="L50" s="9"/>
      <c r="M50" s="6"/>
      <c r="N50" s="9"/>
    </row>
    <row r="51" spans="1:14" ht="12.75">
      <c r="A51" s="60" t="str">
        <f>'P&amp;L Details'!A60</f>
        <v>Professional and Accountant Fees</v>
      </c>
      <c r="D51" s="9">
        <f>'Budget Details'!M51</f>
        <v>0</v>
      </c>
      <c r="F51" s="6">
        <f>'P&amp;L Summary'!C64</f>
        <v>10405</v>
      </c>
      <c r="G51" s="6">
        <f>10064-G52+6452</f>
        <v>7516</v>
      </c>
      <c r="I51" s="6">
        <f t="shared" si="2"/>
        <v>-10405</v>
      </c>
      <c r="K51" s="83">
        <f t="shared" si="3"/>
        <v>-1</v>
      </c>
      <c r="L51" s="9"/>
      <c r="M51" s="6"/>
      <c r="N51" s="9"/>
    </row>
    <row r="52" spans="1:14" ht="12.75">
      <c r="A52" s="60" t="str">
        <f>'P&amp;L Details'!A61</f>
        <v>Audit Fees</v>
      </c>
      <c r="D52" s="9">
        <f>'Budget Details'!M52</f>
        <v>0</v>
      </c>
      <c r="F52" s="6">
        <f>'P&amp;L Summary'!C66</f>
        <v>5045</v>
      </c>
      <c r="G52" s="6">
        <v>9000</v>
      </c>
      <c r="I52" s="6">
        <f t="shared" si="2"/>
        <v>-5045</v>
      </c>
      <c r="K52" s="83">
        <f t="shared" si="3"/>
        <v>-1</v>
      </c>
      <c r="L52" s="9"/>
      <c r="M52" s="6"/>
      <c r="N52" s="9"/>
    </row>
    <row r="53" spans="1:14" ht="12.75">
      <c r="A53" s="60" t="e">
        <f>'P&amp;L Details'!#REF!</f>
        <v>#REF!</v>
      </c>
      <c r="D53" s="9">
        <f>'Budget Details'!M53</f>
        <v>0</v>
      </c>
      <c r="F53" s="6" t="e">
        <f>'P&amp;L Summary'!#REF!</f>
        <v>#REF!</v>
      </c>
      <c r="G53" s="6">
        <v>3327</v>
      </c>
      <c r="I53" s="12" t="e">
        <f t="shared" si="2"/>
        <v>#REF!</v>
      </c>
      <c r="K53" s="83" t="e">
        <f t="shared" si="3"/>
        <v>#REF!</v>
      </c>
      <c r="L53" s="9"/>
      <c r="M53" s="6"/>
      <c r="N53" s="9"/>
    </row>
    <row r="54" spans="1:14" ht="12.75">
      <c r="A54" s="60" t="str">
        <f>'P&amp;L Details'!A62</f>
        <v>Depreciation Charge</v>
      </c>
      <c r="D54" s="9">
        <f>'Budget Details'!M54</f>
        <v>4932</v>
      </c>
      <c r="F54" s="6">
        <f>'P&amp;L Summary'!C67</f>
        <v>25564</v>
      </c>
      <c r="I54" s="6">
        <f t="shared" si="2"/>
        <v>-20632</v>
      </c>
      <c r="K54" s="83">
        <f>I54/F54</f>
        <v>-0.8070724456266625</v>
      </c>
      <c r="L54" s="9"/>
      <c r="M54" s="6"/>
      <c r="N54" s="9"/>
    </row>
    <row r="56" spans="1:11" ht="12.75">
      <c r="A56" s="7" t="s">
        <v>1</v>
      </c>
      <c r="B56" s="7"/>
      <c r="C56" s="7"/>
      <c r="D56" s="8">
        <f>SUM(D25:D55)</f>
        <v>363096</v>
      </c>
      <c r="E56" s="7"/>
      <c r="F56" s="8" t="e">
        <f>SUM(F25:F55)</f>
        <v>#REF!</v>
      </c>
      <c r="G56" s="8">
        <f>SUM(G25:G53)</f>
        <v>466420</v>
      </c>
      <c r="I56" s="8" t="e">
        <f>SUM(I25:I55)</f>
        <v>#REF!</v>
      </c>
      <c r="K56" s="85" t="e">
        <f>I56/F56</f>
        <v>#REF!</v>
      </c>
    </row>
    <row r="57" ht="12.75">
      <c r="D57" s="6"/>
    </row>
    <row r="58" spans="1:11" ht="13.5" thickBot="1">
      <c r="A58" s="7" t="s">
        <v>181</v>
      </c>
      <c r="B58" s="7"/>
      <c r="C58" s="7"/>
      <c r="D58" s="10">
        <f>D22-D56</f>
        <v>-36264</v>
      </c>
      <c r="E58" s="7"/>
      <c r="F58" s="10" t="e">
        <f>F22-F56</f>
        <v>#REF!</v>
      </c>
      <c r="G58" s="10">
        <f>G22-G56</f>
        <v>1719</v>
      </c>
      <c r="I58" s="11" t="e">
        <f>D58-F58</f>
        <v>#REF!</v>
      </c>
      <c r="K58" s="86" t="e">
        <f>I58/F58</f>
        <v>#REF!</v>
      </c>
    </row>
    <row r="59" ht="13.5" thickTop="1"/>
  </sheetData>
  <sheetProtection/>
  <mergeCells count="4">
    <mergeCell ref="B1:K1"/>
    <mergeCell ref="B2:K2"/>
    <mergeCell ref="B3:K3"/>
    <mergeCell ref="B4:K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3"/>
  <headerFooter alignWithMargins="0">
    <oddFooter>&amp;C&amp;P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0"/>
  <sheetViews>
    <sheetView workbookViewId="0" topLeftCell="A41">
      <selection activeCell="P17" sqref="P17"/>
    </sheetView>
  </sheetViews>
  <sheetFormatPr defaultColWidth="9.140625" defaultRowHeight="12.75"/>
  <cols>
    <col min="1" max="1" width="24.7109375" style="2" customWidth="1"/>
    <col min="2" max="2" width="2.7109375" style="2" customWidth="1"/>
    <col min="3" max="3" width="10.140625" style="2" customWidth="1"/>
    <col min="4" max="4" width="2.421875" style="2" customWidth="1"/>
    <col min="5" max="5" width="10.140625" style="2" customWidth="1"/>
    <col min="6" max="6" width="2.421875" style="2" customWidth="1"/>
    <col min="7" max="7" width="10.140625" style="2" customWidth="1"/>
    <col min="8" max="8" width="2.421875" style="2" customWidth="1"/>
    <col min="9" max="9" width="10.140625" style="2" customWidth="1"/>
    <col min="10" max="10" width="2.421875" style="2" customWidth="1"/>
    <col min="11" max="11" width="10.140625" style="2" customWidth="1"/>
    <col min="12" max="12" width="2.421875" style="2" customWidth="1"/>
    <col min="13" max="13" width="10.140625" style="2" customWidth="1"/>
    <col min="14" max="16384" width="9.140625" style="2" customWidth="1"/>
  </cols>
  <sheetData>
    <row r="1" spans="1:13" ht="19.5">
      <c r="A1" s="18"/>
      <c r="B1" s="222" t="s">
        <v>20</v>
      </c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4"/>
    </row>
    <row r="2" spans="1:13" ht="19.5">
      <c r="A2" s="16"/>
      <c r="B2" s="225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7"/>
    </row>
    <row r="3" spans="1:13" ht="8.25" customHeight="1">
      <c r="A3" s="16"/>
      <c r="B3" s="189"/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9"/>
    </row>
    <row r="4" spans="1:13" ht="20.25" thickBot="1">
      <c r="A4" s="19"/>
      <c r="B4" s="230" t="s">
        <v>165</v>
      </c>
      <c r="C4" s="231"/>
      <c r="D4" s="231"/>
      <c r="E4" s="231"/>
      <c r="F4" s="231"/>
      <c r="G4" s="231"/>
      <c r="H4" s="231"/>
      <c r="I4" s="231"/>
      <c r="J4" s="231"/>
      <c r="K4" s="231"/>
      <c r="L4" s="231"/>
      <c r="M4" s="232"/>
    </row>
    <row r="5" ht="7.5" customHeight="1" thickBot="1"/>
    <row r="6" spans="3:13" ht="7.5" customHeight="1">
      <c r="C6" s="47"/>
      <c r="D6" s="13"/>
      <c r="E6" s="47"/>
      <c r="F6" s="13"/>
      <c r="G6" s="47"/>
      <c r="H6" s="13"/>
      <c r="I6" s="47"/>
      <c r="J6" s="13"/>
      <c r="K6" s="47"/>
      <c r="M6" s="47"/>
    </row>
    <row r="7" spans="3:13" ht="27.75">
      <c r="C7" s="48" t="s">
        <v>2</v>
      </c>
      <c r="D7" s="45"/>
      <c r="E7" s="94" t="s">
        <v>190</v>
      </c>
      <c r="F7" s="45"/>
      <c r="G7" s="50" t="s">
        <v>3</v>
      </c>
      <c r="H7" s="46"/>
      <c r="I7" s="50" t="s">
        <v>5</v>
      </c>
      <c r="J7" s="46"/>
      <c r="K7" s="50" t="s">
        <v>73</v>
      </c>
      <c r="L7" s="3"/>
      <c r="M7" s="50" t="s">
        <v>6</v>
      </c>
    </row>
    <row r="8" spans="3:13" ht="13.5" thickBot="1">
      <c r="C8" s="49" t="s">
        <v>7</v>
      </c>
      <c r="D8" s="46"/>
      <c r="E8" s="49" t="s">
        <v>7</v>
      </c>
      <c r="F8" s="46"/>
      <c r="G8" s="49" t="s">
        <v>7</v>
      </c>
      <c r="H8" s="46"/>
      <c r="I8" s="49" t="s">
        <v>7</v>
      </c>
      <c r="J8" s="46"/>
      <c r="K8" s="49" t="s">
        <v>7</v>
      </c>
      <c r="L8" s="3"/>
      <c r="M8" s="49" t="s">
        <v>7</v>
      </c>
    </row>
    <row r="9" spans="4:10" ht="6.75" customHeight="1">
      <c r="D9" s="13"/>
      <c r="E9" s="13"/>
      <c r="F9" s="13"/>
      <c r="H9" s="13"/>
      <c r="J9" s="13"/>
    </row>
    <row r="10" spans="1:10" ht="12.75">
      <c r="A10" s="5" t="s">
        <v>8</v>
      </c>
      <c r="B10" s="5"/>
      <c r="D10" s="13"/>
      <c r="E10" s="13"/>
      <c r="F10" s="13"/>
      <c r="H10" s="13"/>
      <c r="J10" s="13"/>
    </row>
    <row r="11" spans="1:14" ht="12.75">
      <c r="A11" s="2" t="s">
        <v>89</v>
      </c>
      <c r="C11" s="61">
        <v>0</v>
      </c>
      <c r="D11" s="61"/>
      <c r="E11" s="61"/>
      <c r="F11" s="61"/>
      <c r="G11" s="61">
        <v>92328</v>
      </c>
      <c r="H11" s="14"/>
      <c r="I11" s="61">
        <v>32400</v>
      </c>
      <c r="J11" s="14"/>
      <c r="K11" s="61">
        <v>130716</v>
      </c>
      <c r="L11" s="6"/>
      <c r="M11" s="6">
        <f>C11+E11+G11+I11+K11</f>
        <v>255444</v>
      </c>
      <c r="N11" s="9"/>
    </row>
    <row r="12" spans="1:13" ht="12.75">
      <c r="A12" s="2" t="s">
        <v>91</v>
      </c>
      <c r="C12" s="61">
        <v>0</v>
      </c>
      <c r="D12" s="61"/>
      <c r="E12" s="61">
        <v>42660</v>
      </c>
      <c r="F12" s="61"/>
      <c r="G12" s="61">
        <v>0</v>
      </c>
      <c r="H12" s="14"/>
      <c r="I12" s="61">
        <v>0</v>
      </c>
      <c r="J12" s="14"/>
      <c r="K12" s="61">
        <v>0</v>
      </c>
      <c r="L12" s="6"/>
      <c r="M12" s="6">
        <f>C12+E12+G12+I12+K12</f>
        <v>42660</v>
      </c>
    </row>
    <row r="13" spans="1:13" ht="12.75">
      <c r="A13" s="2" t="s">
        <v>169</v>
      </c>
      <c r="C13" s="61">
        <v>0</v>
      </c>
      <c r="D13" s="61"/>
      <c r="E13" s="61">
        <v>0</v>
      </c>
      <c r="F13" s="61"/>
      <c r="G13" s="61">
        <v>0</v>
      </c>
      <c r="H13" s="14"/>
      <c r="I13" s="61">
        <v>0</v>
      </c>
      <c r="J13" s="14"/>
      <c r="K13" s="61">
        <v>9756</v>
      </c>
      <c r="L13" s="6"/>
      <c r="M13" s="6">
        <f aca="true" t="shared" si="0" ref="M13:M20">C13+G13+I13+K13</f>
        <v>9756</v>
      </c>
    </row>
    <row r="14" spans="1:13" ht="12.75">
      <c r="A14" s="2" t="s">
        <v>92</v>
      </c>
      <c r="C14" s="61">
        <v>0</v>
      </c>
      <c r="D14" s="61"/>
      <c r="E14" s="61">
        <v>0</v>
      </c>
      <c r="F14" s="61"/>
      <c r="G14" s="61">
        <v>1356</v>
      </c>
      <c r="H14" s="14"/>
      <c r="I14" s="61">
        <v>108</v>
      </c>
      <c r="J14" s="61"/>
      <c r="K14" s="61">
        <v>1104</v>
      </c>
      <c r="L14" s="6"/>
      <c r="M14" s="6">
        <f t="shared" si="0"/>
        <v>2568</v>
      </c>
    </row>
    <row r="15" spans="1:13" ht="12.75">
      <c r="A15" s="2" t="s">
        <v>38</v>
      </c>
      <c r="C15" s="61">
        <v>0</v>
      </c>
      <c r="D15" s="61"/>
      <c r="E15" s="61">
        <v>0</v>
      </c>
      <c r="F15" s="61"/>
      <c r="G15" s="61">
        <v>300</v>
      </c>
      <c r="H15" s="61"/>
      <c r="I15" s="61">
        <v>996</v>
      </c>
      <c r="J15" s="61"/>
      <c r="K15" s="61">
        <v>9996</v>
      </c>
      <c r="L15" s="6"/>
      <c r="M15" s="6">
        <f t="shared" si="0"/>
        <v>11292</v>
      </c>
    </row>
    <row r="16" spans="1:13" ht="12.75">
      <c r="A16" s="2" t="s">
        <v>87</v>
      </c>
      <c r="C16" s="61">
        <v>0</v>
      </c>
      <c r="D16" s="61"/>
      <c r="E16" s="61">
        <v>1200</v>
      </c>
      <c r="F16" s="61"/>
      <c r="G16" s="61">
        <v>0</v>
      </c>
      <c r="H16" s="61"/>
      <c r="I16" s="61">
        <v>0</v>
      </c>
      <c r="J16" s="61"/>
      <c r="K16" s="61">
        <v>0</v>
      </c>
      <c r="L16" s="6"/>
      <c r="M16" s="6">
        <f t="shared" si="0"/>
        <v>0</v>
      </c>
    </row>
    <row r="17" spans="1:13" ht="12.75">
      <c r="A17" s="2" t="s">
        <v>88</v>
      </c>
      <c r="C17" s="61">
        <v>0</v>
      </c>
      <c r="D17" s="61"/>
      <c r="E17" s="61">
        <v>0</v>
      </c>
      <c r="F17" s="61"/>
      <c r="G17" s="61">
        <v>0</v>
      </c>
      <c r="H17" s="61"/>
      <c r="I17" s="61">
        <v>0</v>
      </c>
      <c r="J17" s="61"/>
      <c r="K17" s="61">
        <v>0</v>
      </c>
      <c r="L17" s="6"/>
      <c r="M17" s="6">
        <f t="shared" si="0"/>
        <v>0</v>
      </c>
    </row>
    <row r="18" spans="1:13" ht="12.75">
      <c r="A18" s="2" t="s">
        <v>39</v>
      </c>
      <c r="C18" s="61">
        <v>0</v>
      </c>
      <c r="D18" s="61"/>
      <c r="E18" s="61">
        <v>0</v>
      </c>
      <c r="F18" s="61"/>
      <c r="G18" s="61">
        <v>0</v>
      </c>
      <c r="H18" s="61"/>
      <c r="I18" s="61">
        <v>5004</v>
      </c>
      <c r="J18" s="61"/>
      <c r="K18" s="61">
        <v>0</v>
      </c>
      <c r="L18" s="6"/>
      <c r="M18" s="6">
        <f t="shared" si="0"/>
        <v>5004</v>
      </c>
    </row>
    <row r="19" spans="1:13" ht="12.75">
      <c r="A19" s="2" t="s">
        <v>90</v>
      </c>
      <c r="C19" s="61">
        <v>0</v>
      </c>
      <c r="D19" s="61"/>
      <c r="E19" s="61">
        <v>0</v>
      </c>
      <c r="F19" s="61"/>
      <c r="G19" s="61">
        <v>0</v>
      </c>
      <c r="H19" s="61"/>
      <c r="I19" s="61">
        <v>0</v>
      </c>
      <c r="J19" s="61"/>
      <c r="K19" s="61">
        <v>0</v>
      </c>
      <c r="L19" s="6"/>
      <c r="M19" s="6">
        <f t="shared" si="0"/>
        <v>0</v>
      </c>
    </row>
    <row r="20" spans="1:13" ht="12.75">
      <c r="A20" s="2" t="s">
        <v>40</v>
      </c>
      <c r="C20" s="61">
        <v>0</v>
      </c>
      <c r="D20" s="61"/>
      <c r="E20" s="61">
        <v>0</v>
      </c>
      <c r="F20" s="61"/>
      <c r="G20" s="61">
        <v>60</v>
      </c>
      <c r="H20" s="61"/>
      <c r="I20" s="61">
        <v>0</v>
      </c>
      <c r="J20" s="61"/>
      <c r="K20" s="61">
        <v>48</v>
      </c>
      <c r="L20" s="6"/>
      <c r="M20" s="6">
        <f t="shared" si="0"/>
        <v>108</v>
      </c>
    </row>
    <row r="21" spans="3:13" ht="12.75"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</row>
    <row r="22" spans="1:13" ht="12.75">
      <c r="A22" s="7" t="s">
        <v>6</v>
      </c>
      <c r="B22" s="7"/>
      <c r="C22" s="8">
        <f>SUM(C11:C21)</f>
        <v>0</v>
      </c>
      <c r="D22" s="8"/>
      <c r="E22" s="8">
        <f>SUM(E11:E21)</f>
        <v>43860</v>
      </c>
      <c r="F22" s="8"/>
      <c r="G22" s="8">
        <f>SUM(G11:G20)</f>
        <v>94044</v>
      </c>
      <c r="H22" s="8"/>
      <c r="I22" s="8">
        <f>SUM(I11:I20)</f>
        <v>38508</v>
      </c>
      <c r="J22" s="8"/>
      <c r="K22" s="8">
        <f>SUM(K11:K20)</f>
        <v>151620</v>
      </c>
      <c r="L22" s="8"/>
      <c r="M22" s="8">
        <f>SUM(M11:M20)</f>
        <v>326832</v>
      </c>
    </row>
    <row r="23" ht="9" customHeight="1"/>
    <row r="24" spans="1:10" ht="12.75">
      <c r="A24" s="5" t="s">
        <v>0</v>
      </c>
      <c r="B24" s="5"/>
      <c r="I24" s="6"/>
      <c r="J24" s="6"/>
    </row>
    <row r="25" spans="1:13" ht="12.75">
      <c r="A25" s="2" t="s">
        <v>41</v>
      </c>
      <c r="C25" s="9">
        <v>0</v>
      </c>
      <c r="D25" s="9"/>
      <c r="E25" s="9">
        <v>0</v>
      </c>
      <c r="F25" s="9"/>
      <c r="G25" s="9">
        <v>129552</v>
      </c>
      <c r="H25" s="9"/>
      <c r="I25" s="9">
        <v>33228</v>
      </c>
      <c r="J25" s="6"/>
      <c r="K25" s="6">
        <v>99600</v>
      </c>
      <c r="M25" s="6">
        <f>C25+G25+I25+K25</f>
        <v>262380</v>
      </c>
    </row>
    <row r="26" spans="1:13" ht="12.75">
      <c r="A26" s="2" t="s">
        <v>42</v>
      </c>
      <c r="C26" s="9">
        <v>0</v>
      </c>
      <c r="D26" s="9"/>
      <c r="E26" s="9">
        <v>0</v>
      </c>
      <c r="F26" s="9"/>
      <c r="G26" s="9">
        <v>0</v>
      </c>
      <c r="H26" s="9"/>
      <c r="I26" s="9">
        <v>0</v>
      </c>
      <c r="J26" s="6"/>
      <c r="K26" s="6">
        <v>0</v>
      </c>
      <c r="M26" s="6">
        <f aca="true" t="shared" si="1" ref="M26:M54">C26+G26+I26+K26</f>
        <v>0</v>
      </c>
    </row>
    <row r="27" spans="1:13" ht="12.75">
      <c r="A27" s="2" t="s">
        <v>173</v>
      </c>
      <c r="C27" s="9">
        <v>0</v>
      </c>
      <c r="D27" s="9"/>
      <c r="E27" s="9">
        <v>0</v>
      </c>
      <c r="F27" s="9"/>
      <c r="G27" s="9">
        <v>0</v>
      </c>
      <c r="H27" s="9"/>
      <c r="I27" s="9">
        <v>0</v>
      </c>
      <c r="J27" s="6"/>
      <c r="K27" s="6">
        <v>0</v>
      </c>
      <c r="M27" s="6">
        <f t="shared" si="1"/>
        <v>0</v>
      </c>
    </row>
    <row r="28" spans="1:13" ht="12.75">
      <c r="A28" s="2" t="s">
        <v>78</v>
      </c>
      <c r="C28" s="9">
        <v>0</v>
      </c>
      <c r="D28" s="9"/>
      <c r="E28" s="9">
        <v>0</v>
      </c>
      <c r="F28" s="9"/>
      <c r="G28" s="9">
        <v>0</v>
      </c>
      <c r="H28" s="9"/>
      <c r="I28" s="9">
        <v>0</v>
      </c>
      <c r="J28" s="6"/>
      <c r="K28" s="6">
        <v>0</v>
      </c>
      <c r="M28" s="6">
        <f t="shared" si="1"/>
        <v>0</v>
      </c>
    </row>
    <row r="29" spans="1:13" ht="12.75">
      <c r="A29" s="2" t="s">
        <v>43</v>
      </c>
      <c r="C29" s="9">
        <v>0</v>
      </c>
      <c r="D29" s="9"/>
      <c r="E29" s="9">
        <v>0</v>
      </c>
      <c r="F29" s="9"/>
      <c r="G29" s="9">
        <v>0</v>
      </c>
      <c r="H29" s="6"/>
      <c r="I29" s="9">
        <v>0</v>
      </c>
      <c r="J29" s="6"/>
      <c r="K29" s="6">
        <v>0</v>
      </c>
      <c r="M29" s="6">
        <f t="shared" si="1"/>
        <v>0</v>
      </c>
    </row>
    <row r="30" spans="1:13" ht="12.75">
      <c r="A30" s="2" t="s">
        <v>44</v>
      </c>
      <c r="C30" s="9">
        <v>0</v>
      </c>
      <c r="D30" s="9"/>
      <c r="E30" s="9">
        <v>0</v>
      </c>
      <c r="F30" s="9"/>
      <c r="G30" s="9">
        <v>3000</v>
      </c>
      <c r="H30" s="9"/>
      <c r="I30" s="9">
        <v>2196</v>
      </c>
      <c r="J30" s="6"/>
      <c r="K30" s="6">
        <v>5004</v>
      </c>
      <c r="M30" s="6">
        <f t="shared" si="1"/>
        <v>10200</v>
      </c>
    </row>
    <row r="31" spans="1:13" ht="12.75">
      <c r="A31" s="2" t="s">
        <v>79</v>
      </c>
      <c r="C31" s="9">
        <v>0</v>
      </c>
      <c r="D31" s="9"/>
      <c r="E31" s="9">
        <v>0</v>
      </c>
      <c r="F31" s="9"/>
      <c r="G31" s="9">
        <v>0</v>
      </c>
      <c r="H31" s="6"/>
      <c r="I31" s="9">
        <v>0</v>
      </c>
      <c r="J31" s="6"/>
      <c r="K31" s="6">
        <v>0</v>
      </c>
      <c r="M31" s="6">
        <f t="shared" si="1"/>
        <v>0</v>
      </c>
    </row>
    <row r="32" spans="1:13" ht="12.75">
      <c r="A32" s="2" t="s">
        <v>80</v>
      </c>
      <c r="C32" s="9">
        <v>0</v>
      </c>
      <c r="D32" s="9"/>
      <c r="E32" s="9">
        <v>0</v>
      </c>
      <c r="F32" s="9"/>
      <c r="G32" s="9">
        <v>0</v>
      </c>
      <c r="H32" s="9"/>
      <c r="I32" s="9">
        <v>0</v>
      </c>
      <c r="J32" s="6"/>
      <c r="K32" s="6">
        <v>0</v>
      </c>
      <c r="M32" s="6">
        <f t="shared" si="1"/>
        <v>0</v>
      </c>
    </row>
    <row r="33" spans="1:13" ht="12.75">
      <c r="A33" s="2" t="s">
        <v>81</v>
      </c>
      <c r="C33" s="9">
        <v>0</v>
      </c>
      <c r="D33" s="9"/>
      <c r="E33" s="9">
        <v>0</v>
      </c>
      <c r="F33" s="9"/>
      <c r="G33" s="9">
        <v>120</v>
      </c>
      <c r="H33" s="6"/>
      <c r="I33" s="9">
        <v>120</v>
      </c>
      <c r="J33" s="6"/>
      <c r="K33" s="6">
        <v>996</v>
      </c>
      <c r="M33" s="6">
        <f t="shared" si="1"/>
        <v>1236</v>
      </c>
    </row>
    <row r="34" spans="1:13" ht="12.75">
      <c r="A34" s="2" t="s">
        <v>162</v>
      </c>
      <c r="C34" s="9">
        <v>0</v>
      </c>
      <c r="D34" s="9"/>
      <c r="E34" s="9">
        <v>0</v>
      </c>
      <c r="F34" s="9"/>
      <c r="G34" s="9">
        <v>0</v>
      </c>
      <c r="H34" s="6"/>
      <c r="I34" s="9">
        <v>0</v>
      </c>
      <c r="J34" s="6"/>
      <c r="K34" s="6">
        <v>0</v>
      </c>
      <c r="M34" s="6">
        <f t="shared" si="1"/>
        <v>0</v>
      </c>
    </row>
    <row r="35" spans="1:13" ht="12.75">
      <c r="A35" s="2" t="s">
        <v>82</v>
      </c>
      <c r="C35" s="9">
        <v>0</v>
      </c>
      <c r="D35" s="9"/>
      <c r="E35" s="9">
        <v>0</v>
      </c>
      <c r="F35" s="9"/>
      <c r="G35" s="9">
        <v>360</v>
      </c>
      <c r="H35" s="9"/>
      <c r="I35" s="9">
        <v>300</v>
      </c>
      <c r="J35" s="6"/>
      <c r="K35" s="6">
        <v>0</v>
      </c>
      <c r="M35" s="6">
        <f t="shared" si="1"/>
        <v>660</v>
      </c>
    </row>
    <row r="36" spans="1:13" ht="12.75">
      <c r="A36" s="2" t="s">
        <v>31</v>
      </c>
      <c r="C36" s="9">
        <v>0</v>
      </c>
      <c r="D36" s="9"/>
      <c r="E36" s="9">
        <v>0</v>
      </c>
      <c r="F36" s="9"/>
      <c r="G36" s="9">
        <v>8064</v>
      </c>
      <c r="H36" s="9"/>
      <c r="I36" s="9">
        <v>6000</v>
      </c>
      <c r="J36" s="9"/>
      <c r="K36" s="6">
        <v>21996</v>
      </c>
      <c r="M36" s="6">
        <f>C36+G36+I36+K36</f>
        <v>36060</v>
      </c>
    </row>
    <row r="37" spans="1:13" ht="12.75">
      <c r="A37" s="2" t="s">
        <v>45</v>
      </c>
      <c r="C37" s="9">
        <v>0</v>
      </c>
      <c r="D37" s="9"/>
      <c r="E37" s="9">
        <v>0</v>
      </c>
      <c r="F37" s="9"/>
      <c r="G37" s="9">
        <v>3504</v>
      </c>
      <c r="H37" s="9"/>
      <c r="I37" s="9">
        <v>1200</v>
      </c>
      <c r="J37" s="9"/>
      <c r="K37" s="6">
        <v>3000</v>
      </c>
      <c r="M37" s="6">
        <f t="shared" si="1"/>
        <v>7704</v>
      </c>
    </row>
    <row r="38" spans="1:13" ht="12.75">
      <c r="A38" s="2" t="s">
        <v>36</v>
      </c>
      <c r="C38" s="9">
        <v>0</v>
      </c>
      <c r="D38" s="6"/>
      <c r="E38" s="9">
        <v>3600</v>
      </c>
      <c r="F38" s="6"/>
      <c r="G38" s="9">
        <v>0</v>
      </c>
      <c r="H38" s="9"/>
      <c r="I38" s="9">
        <v>0</v>
      </c>
      <c r="J38" s="6"/>
      <c r="K38" s="6">
        <v>804</v>
      </c>
      <c r="M38" s="6">
        <f t="shared" si="1"/>
        <v>804</v>
      </c>
    </row>
    <row r="39" spans="1:13" ht="12.75">
      <c r="A39" s="2" t="s">
        <v>75</v>
      </c>
      <c r="C39" s="9">
        <v>0</v>
      </c>
      <c r="D39" s="6"/>
      <c r="E39" s="9">
        <v>0</v>
      </c>
      <c r="F39" s="6"/>
      <c r="G39" s="9">
        <v>1800</v>
      </c>
      <c r="H39" s="9"/>
      <c r="I39" s="9">
        <v>300</v>
      </c>
      <c r="J39" s="6"/>
      <c r="K39" s="6">
        <v>996</v>
      </c>
      <c r="M39" s="6">
        <f t="shared" si="1"/>
        <v>3096</v>
      </c>
    </row>
    <row r="40" spans="1:13" ht="12.75">
      <c r="A40" s="2" t="s">
        <v>46</v>
      </c>
      <c r="C40" s="9">
        <v>0</v>
      </c>
      <c r="D40" s="9"/>
      <c r="E40" s="9">
        <v>0</v>
      </c>
      <c r="F40" s="9"/>
      <c r="G40" s="9">
        <v>996</v>
      </c>
      <c r="H40" s="9"/>
      <c r="I40" s="9">
        <v>204</v>
      </c>
      <c r="J40" s="6"/>
      <c r="K40" s="6">
        <v>1296</v>
      </c>
      <c r="M40" s="6">
        <f t="shared" si="1"/>
        <v>2496</v>
      </c>
    </row>
    <row r="41" spans="1:13" ht="12.75">
      <c r="A41" s="2" t="s">
        <v>83</v>
      </c>
      <c r="C41" s="9">
        <v>0</v>
      </c>
      <c r="D41" s="9"/>
      <c r="E41" s="9">
        <v>0</v>
      </c>
      <c r="F41" s="9"/>
      <c r="G41" s="9">
        <v>300</v>
      </c>
      <c r="H41" s="9"/>
      <c r="I41" s="9">
        <v>96</v>
      </c>
      <c r="J41" s="6"/>
      <c r="K41" s="6">
        <v>204</v>
      </c>
      <c r="M41" s="6">
        <f t="shared" si="1"/>
        <v>600</v>
      </c>
    </row>
    <row r="42" spans="1:13" ht="12.75">
      <c r="A42" s="2" t="s">
        <v>47</v>
      </c>
      <c r="C42" s="9">
        <v>0</v>
      </c>
      <c r="D42" s="9"/>
      <c r="E42" s="9">
        <v>0</v>
      </c>
      <c r="F42" s="9"/>
      <c r="G42" s="9">
        <v>3000</v>
      </c>
      <c r="H42" s="9"/>
      <c r="I42" s="9">
        <v>252</v>
      </c>
      <c r="J42" s="9"/>
      <c r="K42" s="6">
        <v>2196</v>
      </c>
      <c r="M42" s="6">
        <f t="shared" si="1"/>
        <v>5448</v>
      </c>
    </row>
    <row r="43" spans="1:13" ht="12.75">
      <c r="A43" s="2" t="s">
        <v>84</v>
      </c>
      <c r="C43" s="9">
        <v>0</v>
      </c>
      <c r="D43" s="9"/>
      <c r="E43" s="9">
        <v>0</v>
      </c>
      <c r="F43" s="9"/>
      <c r="G43" s="9">
        <v>3000</v>
      </c>
      <c r="H43" s="9"/>
      <c r="I43" s="9">
        <v>1152</v>
      </c>
      <c r="J43" s="9"/>
      <c r="K43" s="6">
        <v>1500</v>
      </c>
      <c r="M43" s="6">
        <f t="shared" si="1"/>
        <v>5652</v>
      </c>
    </row>
    <row r="44" spans="1:13" ht="12.75">
      <c r="A44" s="2" t="s">
        <v>48</v>
      </c>
      <c r="C44" s="9">
        <v>0</v>
      </c>
      <c r="D44" s="9"/>
      <c r="E44" s="9">
        <v>0</v>
      </c>
      <c r="F44" s="9"/>
      <c r="G44" s="9">
        <v>156</v>
      </c>
      <c r="H44" s="9"/>
      <c r="I44" s="9">
        <v>12</v>
      </c>
      <c r="J44" s="9"/>
      <c r="K44" s="6">
        <v>96</v>
      </c>
      <c r="M44" s="6">
        <f t="shared" si="1"/>
        <v>264</v>
      </c>
    </row>
    <row r="45" spans="1:13" ht="12.75">
      <c r="A45" s="2" t="s">
        <v>28</v>
      </c>
      <c r="C45" s="9">
        <v>0</v>
      </c>
      <c r="D45" s="9"/>
      <c r="E45" s="9">
        <v>0</v>
      </c>
      <c r="F45" s="9"/>
      <c r="G45" s="9">
        <v>0</v>
      </c>
      <c r="H45" s="6"/>
      <c r="I45" s="9">
        <v>0</v>
      </c>
      <c r="J45" s="6"/>
      <c r="K45" s="6">
        <v>0</v>
      </c>
      <c r="M45" s="6">
        <f t="shared" si="1"/>
        <v>0</v>
      </c>
    </row>
    <row r="46" spans="1:13" ht="12.75">
      <c r="A46" s="2" t="s">
        <v>49</v>
      </c>
      <c r="C46" s="9">
        <v>0</v>
      </c>
      <c r="D46" s="9"/>
      <c r="E46" s="9">
        <v>0</v>
      </c>
      <c r="F46" s="9"/>
      <c r="G46" s="9">
        <v>1200</v>
      </c>
      <c r="H46" s="9"/>
      <c r="I46" s="9">
        <v>756</v>
      </c>
      <c r="J46" s="9"/>
      <c r="K46" s="6">
        <v>300</v>
      </c>
      <c r="M46" s="6">
        <f t="shared" si="1"/>
        <v>2256</v>
      </c>
    </row>
    <row r="47" spans="1:13" ht="12.75">
      <c r="A47" s="2" t="s">
        <v>85</v>
      </c>
      <c r="C47" s="9">
        <v>0</v>
      </c>
      <c r="D47" s="9"/>
      <c r="E47" s="9">
        <v>0</v>
      </c>
      <c r="F47" s="9"/>
      <c r="G47" s="9">
        <v>1500</v>
      </c>
      <c r="H47" s="9"/>
      <c r="I47" s="9">
        <v>1200</v>
      </c>
      <c r="J47" s="9"/>
      <c r="K47" s="6">
        <v>5604</v>
      </c>
      <c r="M47" s="6">
        <f t="shared" si="1"/>
        <v>8304</v>
      </c>
    </row>
    <row r="48" spans="1:13" ht="12.75">
      <c r="A48" s="2" t="s">
        <v>50</v>
      </c>
      <c r="C48" s="9">
        <v>0</v>
      </c>
      <c r="D48" s="9"/>
      <c r="E48" s="9">
        <v>0</v>
      </c>
      <c r="F48" s="9"/>
      <c r="G48" s="9">
        <v>252</v>
      </c>
      <c r="H48" s="9"/>
      <c r="I48" s="9">
        <v>276</v>
      </c>
      <c r="J48" s="6"/>
      <c r="K48" s="6">
        <v>720</v>
      </c>
      <c r="M48" s="6">
        <f t="shared" si="1"/>
        <v>1248</v>
      </c>
    </row>
    <row r="49" spans="1:13" ht="12.75">
      <c r="A49" s="2" t="s">
        <v>32</v>
      </c>
      <c r="C49" s="9">
        <v>0</v>
      </c>
      <c r="D49" s="9"/>
      <c r="E49" s="9">
        <v>0</v>
      </c>
      <c r="F49" s="9"/>
      <c r="G49" s="9">
        <v>2004</v>
      </c>
      <c r="H49" s="9"/>
      <c r="I49" s="9">
        <v>252</v>
      </c>
      <c r="J49" s="9"/>
      <c r="K49" s="6">
        <v>7500</v>
      </c>
      <c r="M49" s="6">
        <f t="shared" si="1"/>
        <v>9756</v>
      </c>
    </row>
    <row r="50" spans="1:13" ht="12.75">
      <c r="A50" s="2" t="s">
        <v>167</v>
      </c>
      <c r="C50" s="9">
        <v>0</v>
      </c>
      <c r="D50" s="9"/>
      <c r="E50" s="9">
        <v>0</v>
      </c>
      <c r="F50" s="9"/>
      <c r="G50" s="9">
        <v>0</v>
      </c>
      <c r="H50" s="9"/>
      <c r="I50" s="9">
        <v>0</v>
      </c>
      <c r="J50" s="9"/>
      <c r="K50" s="6">
        <v>0</v>
      </c>
      <c r="M50" s="6">
        <f t="shared" si="1"/>
        <v>0</v>
      </c>
    </row>
    <row r="51" spans="1:13" ht="12.75">
      <c r="A51" s="2" t="s">
        <v>51</v>
      </c>
      <c r="C51" s="9">
        <v>0</v>
      </c>
      <c r="D51" s="9"/>
      <c r="E51" s="9">
        <v>0</v>
      </c>
      <c r="F51" s="9"/>
      <c r="G51" s="9">
        <v>0</v>
      </c>
      <c r="H51" s="6"/>
      <c r="I51" s="9">
        <v>0</v>
      </c>
      <c r="J51" s="6"/>
      <c r="K51" s="6">
        <v>0</v>
      </c>
      <c r="M51" s="6">
        <f t="shared" si="1"/>
        <v>0</v>
      </c>
    </row>
    <row r="52" spans="1:13" ht="12.75">
      <c r="A52" s="2" t="s">
        <v>86</v>
      </c>
      <c r="C52" s="9">
        <v>0</v>
      </c>
      <c r="D52" s="9"/>
      <c r="E52" s="9">
        <v>0</v>
      </c>
      <c r="F52" s="9"/>
      <c r="G52" s="9">
        <v>0</v>
      </c>
      <c r="H52" s="6"/>
      <c r="I52" s="9">
        <v>0</v>
      </c>
      <c r="J52" s="6"/>
      <c r="K52" s="6">
        <v>0</v>
      </c>
      <c r="M52" s="6">
        <f t="shared" si="1"/>
        <v>0</v>
      </c>
    </row>
    <row r="53" spans="1:13" ht="12.75">
      <c r="A53" s="2" t="s">
        <v>168</v>
      </c>
      <c r="C53" s="9">
        <v>0</v>
      </c>
      <c r="D53" s="9"/>
      <c r="E53" s="9">
        <v>0</v>
      </c>
      <c r="F53" s="9"/>
      <c r="G53" s="9">
        <v>0</v>
      </c>
      <c r="H53" s="6"/>
      <c r="I53" s="9">
        <v>0</v>
      </c>
      <c r="J53" s="6"/>
      <c r="K53" s="6">
        <v>0</v>
      </c>
      <c r="M53" s="6">
        <f t="shared" si="1"/>
        <v>0</v>
      </c>
    </row>
    <row r="54" spans="1:13" ht="12.75">
      <c r="A54" s="2" t="s">
        <v>52</v>
      </c>
      <c r="C54" s="9">
        <v>0</v>
      </c>
      <c r="D54" s="9"/>
      <c r="E54" s="9">
        <v>0</v>
      </c>
      <c r="F54" s="9"/>
      <c r="G54" s="9">
        <v>1236</v>
      </c>
      <c r="I54" s="9">
        <v>600</v>
      </c>
      <c r="K54" s="6">
        <v>3096</v>
      </c>
      <c r="M54" s="6">
        <f t="shared" si="1"/>
        <v>4932</v>
      </c>
    </row>
    <row r="55" ht="3.75" customHeight="1"/>
    <row r="56" spans="1:13" ht="12.75">
      <c r="A56" s="7" t="s">
        <v>1</v>
      </c>
      <c r="B56" s="7"/>
      <c r="C56" s="8">
        <f>SUM(C25:C54)</f>
        <v>0</v>
      </c>
      <c r="D56" s="8"/>
      <c r="E56" s="8">
        <f>SUM(E25:E54)</f>
        <v>3600</v>
      </c>
      <c r="F56" s="8"/>
      <c r="G56" s="8">
        <f>SUM(G25:G54)</f>
        <v>160044</v>
      </c>
      <c r="H56" s="8"/>
      <c r="I56" s="8">
        <f>SUM(I25:I54)</f>
        <v>48144</v>
      </c>
      <c r="J56" s="8"/>
      <c r="K56" s="8">
        <f>SUM(K25:K54)</f>
        <v>154908</v>
      </c>
      <c r="L56" s="8"/>
      <c r="M56" s="8">
        <f>SUM(M25:M54)</f>
        <v>363096</v>
      </c>
    </row>
    <row r="57" spans="3:13" ht="6.75" customHeight="1"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</row>
    <row r="58" spans="1:13" ht="13.5" thickBot="1">
      <c r="A58" s="7" t="s">
        <v>181</v>
      </c>
      <c r="B58" s="7"/>
      <c r="C58" s="10">
        <f>C22-C56</f>
        <v>0</v>
      </c>
      <c r="D58" s="10"/>
      <c r="E58" s="11">
        <f>E22-E56</f>
        <v>40260</v>
      </c>
      <c r="F58" s="10"/>
      <c r="G58" s="11">
        <f>G22-G56</f>
        <v>-66000</v>
      </c>
      <c r="H58" s="11"/>
      <c r="I58" s="11">
        <f>I22-I56</f>
        <v>-9636</v>
      </c>
      <c r="J58" s="11"/>
      <c r="K58" s="11">
        <f>K22-K56</f>
        <v>-3288</v>
      </c>
      <c r="L58" s="10"/>
      <c r="M58" s="10">
        <f>M22-M56</f>
        <v>-36264</v>
      </c>
    </row>
    <row r="59" ht="6.75" customHeight="1" thickTop="1"/>
    <row r="60" spans="1:13" ht="12.75">
      <c r="A60" s="233"/>
      <c r="B60" s="234"/>
      <c r="C60" s="234"/>
      <c r="D60" s="234"/>
      <c r="E60" s="234"/>
      <c r="F60" s="234"/>
      <c r="G60" s="234"/>
      <c r="H60" s="234"/>
      <c r="I60" s="234"/>
      <c r="J60" s="234"/>
      <c r="K60" s="234"/>
      <c r="L60" s="234"/>
      <c r="M60" s="234"/>
    </row>
  </sheetData>
  <sheetProtection/>
  <mergeCells count="5">
    <mergeCell ref="B1:M1"/>
    <mergeCell ref="B2:M2"/>
    <mergeCell ref="B3:M3"/>
    <mergeCell ref="B4:M4"/>
    <mergeCell ref="A60:M60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7"/>
  <headerFooter alignWithMargins="0">
    <oddFooter>&amp;C&amp;P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"/>
  <sheetViews>
    <sheetView view="pageLayout" workbookViewId="0" topLeftCell="A7">
      <selection activeCell="B22" sqref="B22"/>
    </sheetView>
  </sheetViews>
  <sheetFormatPr defaultColWidth="9.140625" defaultRowHeight="12.75"/>
  <cols>
    <col min="1" max="1" width="20.421875" style="2" customWidth="1"/>
    <col min="2" max="2" width="4.7109375" style="2" customWidth="1"/>
    <col min="3" max="3" width="7.7109375" style="2" customWidth="1"/>
    <col min="4" max="4" width="2.7109375" style="2" customWidth="1"/>
    <col min="5" max="10" width="9.00390625" style="2" customWidth="1"/>
    <col min="11" max="16384" width="9.140625" style="2" customWidth="1"/>
  </cols>
  <sheetData>
    <row r="1" spans="1:10" ht="19.5">
      <c r="A1" s="120"/>
      <c r="B1" s="118"/>
      <c r="C1" s="181" t="s">
        <v>201</v>
      </c>
      <c r="D1" s="182"/>
      <c r="E1" s="183"/>
      <c r="F1" s="183"/>
      <c r="G1" s="183"/>
      <c r="H1" s="183"/>
      <c r="I1" s="183"/>
      <c r="J1" s="184"/>
    </row>
    <row r="2" spans="1:10" ht="19.5">
      <c r="A2" s="17"/>
      <c r="B2" s="17"/>
      <c r="C2" s="185" t="s">
        <v>282</v>
      </c>
      <c r="D2" s="186"/>
      <c r="E2" s="187"/>
      <c r="F2" s="187"/>
      <c r="G2" s="187"/>
      <c r="H2" s="187"/>
      <c r="I2" s="187"/>
      <c r="J2" s="188"/>
    </row>
    <row r="3" spans="1:10" ht="8.25" customHeight="1">
      <c r="A3" s="17"/>
      <c r="B3" s="17"/>
      <c r="C3" s="189"/>
      <c r="D3" s="190"/>
      <c r="E3" s="191"/>
      <c r="F3" s="191"/>
      <c r="G3" s="191"/>
      <c r="H3" s="191"/>
      <c r="I3" s="191"/>
      <c r="J3" s="192"/>
    </row>
    <row r="4" spans="1:10" ht="24" customHeight="1" thickBot="1">
      <c r="A4" s="119"/>
      <c r="B4" s="119"/>
      <c r="C4" s="193" t="s">
        <v>25</v>
      </c>
      <c r="D4" s="194"/>
      <c r="E4" s="195"/>
      <c r="F4" s="195"/>
      <c r="G4" s="195"/>
      <c r="H4" s="195"/>
      <c r="I4" s="195"/>
      <c r="J4" s="196"/>
    </row>
    <row r="5" ht="12.75"/>
    <row r="9" spans="9:10" ht="12.75">
      <c r="I9" s="3" t="s">
        <v>26</v>
      </c>
      <c r="J9" s="29"/>
    </row>
    <row r="12" spans="1:9" ht="12.75">
      <c r="A12" s="2" t="s">
        <v>283</v>
      </c>
      <c r="H12" s="27"/>
      <c r="I12" s="27">
        <v>3</v>
      </c>
    </row>
    <row r="13" spans="8:9" ht="12.75">
      <c r="H13" s="28"/>
      <c r="I13" s="27"/>
    </row>
    <row r="14" spans="8:9" ht="12.75">
      <c r="H14" s="28"/>
      <c r="I14" s="27"/>
    </row>
    <row r="15" spans="1:9" ht="12.75">
      <c r="A15" s="2" t="s">
        <v>284</v>
      </c>
      <c r="H15" s="27"/>
      <c r="I15" s="27">
        <v>4</v>
      </c>
    </row>
    <row r="16" spans="8:9" ht="12.75">
      <c r="H16" s="28"/>
      <c r="I16" s="27"/>
    </row>
    <row r="17" spans="8:9" ht="12.75">
      <c r="H17" s="28"/>
      <c r="I17" s="27"/>
    </row>
    <row r="18" spans="1:9" ht="12.75">
      <c r="A18" s="2" t="s">
        <v>285</v>
      </c>
      <c r="H18" s="28"/>
      <c r="I18" s="27">
        <v>5</v>
      </c>
    </row>
    <row r="19" spans="8:9" ht="12.75">
      <c r="H19" s="28"/>
      <c r="I19" s="27"/>
    </row>
    <row r="20" ht="12.75">
      <c r="I20" s="27"/>
    </row>
    <row r="21" spans="1:9" ht="12.75">
      <c r="A21" s="2" t="s">
        <v>24</v>
      </c>
      <c r="I21" s="27">
        <v>6</v>
      </c>
    </row>
  </sheetData>
  <sheetProtection/>
  <mergeCells count="4">
    <mergeCell ref="C1:J1"/>
    <mergeCell ref="C2:J2"/>
    <mergeCell ref="C3:J3"/>
    <mergeCell ref="C4:J4"/>
  </mergeCells>
  <printOptions/>
  <pageMargins left="0.7" right="0.7" top="0.75" bottom="0.75" header="0.3" footer="0.3"/>
  <pageSetup fitToHeight="1" fitToWidth="1" horizontalDpi="600" verticalDpi="600" orientation="portrait" paperSize="9" scale="92"/>
  <headerFooter alignWithMargins="0">
    <oddFooter>&amp;C&amp;P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L102"/>
  <sheetViews>
    <sheetView zoomScale="85" zoomScaleNormal="85" workbookViewId="0" topLeftCell="A7">
      <selection activeCell="I12" sqref="I12"/>
    </sheetView>
  </sheetViews>
  <sheetFormatPr defaultColWidth="9.140625" defaultRowHeight="12.75"/>
  <cols>
    <col min="1" max="1" width="32.421875" style="60" customWidth="1"/>
    <col min="2" max="2" width="3.00390625" style="60" customWidth="1"/>
    <col min="3" max="3" width="14.28125" style="13" customWidth="1"/>
    <col min="4" max="4" width="1.28515625" style="60" customWidth="1"/>
    <col min="5" max="5" width="14.28125" style="61" customWidth="1"/>
    <col min="6" max="6" width="1.421875" style="61" customWidth="1"/>
    <col min="7" max="7" width="15.00390625" style="97" customWidth="1"/>
    <col min="8" max="8" width="1.7109375" style="60" customWidth="1"/>
    <col min="9" max="9" width="17.7109375" style="140" customWidth="1"/>
    <col min="10" max="10" width="26.140625" style="60" customWidth="1"/>
    <col min="11" max="11" width="76.28125" style="60" bestFit="1" customWidth="1"/>
    <col min="12" max="16384" width="9.140625" style="60" customWidth="1"/>
  </cols>
  <sheetData>
    <row r="1" spans="1:9" ht="18" customHeight="1">
      <c r="A1" s="18"/>
      <c r="B1" s="182"/>
      <c r="C1" s="182"/>
      <c r="D1" s="182"/>
      <c r="E1" s="182"/>
      <c r="F1" s="182"/>
      <c r="G1" s="182"/>
      <c r="H1" s="182"/>
      <c r="I1" s="197"/>
    </row>
    <row r="2" spans="1:9" ht="19.5">
      <c r="A2" s="16"/>
      <c r="B2" s="157"/>
      <c r="C2" s="186" t="s">
        <v>286</v>
      </c>
      <c r="D2" s="186"/>
      <c r="E2" s="186"/>
      <c r="F2" s="186"/>
      <c r="G2" s="186"/>
      <c r="H2" s="186"/>
      <c r="I2" s="200"/>
    </row>
    <row r="3" spans="1:9" ht="8.25" customHeight="1">
      <c r="A3" s="16"/>
      <c r="B3" s="190"/>
      <c r="C3" s="190"/>
      <c r="D3" s="190"/>
      <c r="E3" s="190"/>
      <c r="F3" s="190"/>
      <c r="G3" s="190"/>
      <c r="H3" s="190"/>
      <c r="I3" s="199"/>
    </row>
    <row r="4" spans="1:9" ht="24" customHeight="1" thickBot="1">
      <c r="A4" s="19"/>
      <c r="B4" s="194"/>
      <c r="C4" s="194"/>
      <c r="D4" s="194"/>
      <c r="E4" s="194"/>
      <c r="F4" s="194"/>
      <c r="G4" s="194"/>
      <c r="H4" s="194"/>
      <c r="I4" s="198"/>
    </row>
    <row r="5" ht="7.5" customHeight="1" thickBot="1"/>
    <row r="6" spans="3:9" ht="12.75">
      <c r="C6" s="134" t="s">
        <v>186</v>
      </c>
      <c r="E6" s="129" t="s">
        <v>185</v>
      </c>
      <c r="F6" s="124"/>
      <c r="G6" s="132"/>
      <c r="I6" s="141" t="s">
        <v>187</v>
      </c>
    </row>
    <row r="7" spans="2:9" ht="12.75">
      <c r="B7" s="115"/>
      <c r="C7" s="130" t="s">
        <v>287</v>
      </c>
      <c r="E7" s="130" t="s">
        <v>287</v>
      </c>
      <c r="F7" s="124"/>
      <c r="G7" s="133" t="s">
        <v>11</v>
      </c>
      <c r="I7" s="142" t="s">
        <v>188</v>
      </c>
    </row>
    <row r="8" spans="2:9" ht="12.75">
      <c r="B8" s="115"/>
      <c r="C8" s="130">
        <v>43800</v>
      </c>
      <c r="E8" s="130">
        <v>43800</v>
      </c>
      <c r="F8" s="124"/>
      <c r="G8" s="133"/>
      <c r="I8" s="142">
        <v>43465</v>
      </c>
    </row>
    <row r="9" spans="3:10" ht="13.5" thickBot="1">
      <c r="C9" s="135" t="s">
        <v>7</v>
      </c>
      <c r="E9" s="131" t="s">
        <v>7</v>
      </c>
      <c r="F9" s="124"/>
      <c r="G9" s="131" t="s">
        <v>7</v>
      </c>
      <c r="I9" s="143" t="s">
        <v>7</v>
      </c>
      <c r="J9" s="125">
        <v>4</v>
      </c>
    </row>
    <row r="10" ht="8.25" customHeight="1"/>
    <row r="11" spans="1:2" ht="12.75">
      <c r="A11" s="105" t="s">
        <v>8</v>
      </c>
      <c r="B11" s="105"/>
    </row>
    <row r="12" spans="1:10" ht="12.75">
      <c r="A12" s="60" t="str">
        <f>'P&amp;L Details'!A12</f>
        <v>CPP Income</v>
      </c>
      <c r="B12" s="99"/>
      <c r="C12" s="126">
        <v>336626</v>
      </c>
      <c r="D12" s="99"/>
      <c r="E12" s="126">
        <v>336626</v>
      </c>
      <c r="F12" s="92"/>
      <c r="G12" s="146">
        <f>C12-E12</f>
        <v>0</v>
      </c>
      <c r="H12" s="99"/>
      <c r="I12" s="126">
        <v>461908</v>
      </c>
      <c r="J12" s="97"/>
    </row>
    <row r="13" spans="1:9" ht="12.75">
      <c r="A13" s="60" t="s">
        <v>261</v>
      </c>
      <c r="B13" s="99"/>
      <c r="C13" s="126">
        <v>226382</v>
      </c>
      <c r="D13" s="99"/>
      <c r="E13" s="126">
        <v>226382</v>
      </c>
      <c r="F13" s="92"/>
      <c r="G13" s="146">
        <f aca="true" t="shared" si="0" ref="G13:G23">C13-E13</f>
        <v>0</v>
      </c>
      <c r="H13" s="99"/>
      <c r="I13" s="126">
        <v>187946</v>
      </c>
    </row>
    <row r="14" spans="1:11" ht="12.75">
      <c r="A14" s="60" t="str">
        <f>'P&amp;L Details'!A14</f>
        <v>Donations and Subscriptions </v>
      </c>
      <c r="B14" s="99"/>
      <c r="C14" s="126">
        <v>2325</v>
      </c>
      <c r="D14" s="99"/>
      <c r="E14" s="126">
        <v>2325</v>
      </c>
      <c r="F14" s="92"/>
      <c r="G14" s="146">
        <f t="shared" si="0"/>
        <v>0</v>
      </c>
      <c r="H14" s="99"/>
      <c r="I14" s="126">
        <v>6006</v>
      </c>
      <c r="K14" s="146"/>
    </row>
    <row r="15" spans="1:9" ht="12.75">
      <c r="A15" s="60" t="s">
        <v>229</v>
      </c>
      <c r="B15" s="99"/>
      <c r="C15" s="126">
        <v>337</v>
      </c>
      <c r="D15" s="99"/>
      <c r="E15" s="126">
        <v>337</v>
      </c>
      <c r="F15" s="92"/>
      <c r="G15" s="146">
        <f t="shared" si="0"/>
        <v>0</v>
      </c>
      <c r="H15" s="99"/>
      <c r="I15" s="126">
        <v>362</v>
      </c>
    </row>
    <row r="16" spans="1:10" ht="12.75">
      <c r="A16" s="60" t="s">
        <v>242</v>
      </c>
      <c r="B16" s="99"/>
      <c r="C16" s="126">
        <v>7500</v>
      </c>
      <c r="D16" s="99"/>
      <c r="E16" s="126">
        <v>7500</v>
      </c>
      <c r="F16" s="92"/>
      <c r="G16" s="146">
        <f t="shared" si="0"/>
        <v>0</v>
      </c>
      <c r="H16" s="99"/>
      <c r="I16" s="146"/>
      <c r="J16" s="97"/>
    </row>
    <row r="17" spans="1:9" ht="12.75">
      <c r="A17" s="60" t="s">
        <v>217</v>
      </c>
      <c r="B17" s="99"/>
      <c r="C17" s="126">
        <v>4372</v>
      </c>
      <c r="D17" s="99"/>
      <c r="E17" s="126">
        <v>4372</v>
      </c>
      <c r="F17" s="92"/>
      <c r="G17" s="146">
        <f t="shared" si="0"/>
        <v>0</v>
      </c>
      <c r="H17" s="99"/>
      <c r="I17" s="146">
        <v>3333</v>
      </c>
    </row>
    <row r="18" spans="1:9" ht="12.75">
      <c r="A18" s="60" t="s">
        <v>212</v>
      </c>
      <c r="B18" s="99"/>
      <c r="C18" s="126">
        <v>1440</v>
      </c>
      <c r="D18" s="99"/>
      <c r="E18" s="126">
        <v>1440</v>
      </c>
      <c r="F18" s="92"/>
      <c r="G18" s="146">
        <f t="shared" si="0"/>
        <v>0</v>
      </c>
      <c r="H18" s="99"/>
      <c r="I18" s="126">
        <v>1760</v>
      </c>
    </row>
    <row r="19" spans="1:9" ht="12.75">
      <c r="A19" s="60" t="s">
        <v>263</v>
      </c>
      <c r="B19" s="99"/>
      <c r="C19" s="126">
        <v>14700</v>
      </c>
      <c r="D19" s="99"/>
      <c r="E19" s="126">
        <v>14700</v>
      </c>
      <c r="F19" s="92"/>
      <c r="G19" s="146">
        <f t="shared" si="0"/>
        <v>0</v>
      </c>
      <c r="H19" s="99"/>
      <c r="I19" s="126"/>
    </row>
    <row r="20" spans="1:12" ht="12.75">
      <c r="A20" s="60" t="s">
        <v>260</v>
      </c>
      <c r="B20" s="99"/>
      <c r="C20" s="126">
        <v>7800</v>
      </c>
      <c r="D20" s="99"/>
      <c r="E20" s="126">
        <v>7800</v>
      </c>
      <c r="F20" s="92"/>
      <c r="G20" s="146">
        <f t="shared" si="0"/>
        <v>0</v>
      </c>
      <c r="H20" s="99"/>
      <c r="I20" s="126">
        <v>15600</v>
      </c>
      <c r="L20" s="99"/>
    </row>
    <row r="21" spans="1:9" ht="12.75">
      <c r="A21" s="60" t="s">
        <v>197</v>
      </c>
      <c r="B21" s="99"/>
      <c r="C21" s="126">
        <v>129200</v>
      </c>
      <c r="D21" s="99"/>
      <c r="E21" s="126">
        <v>129200</v>
      </c>
      <c r="F21" s="92"/>
      <c r="G21" s="146">
        <f t="shared" si="0"/>
        <v>0</v>
      </c>
      <c r="H21" s="99"/>
      <c r="I21" s="126">
        <v>129200</v>
      </c>
    </row>
    <row r="22" spans="1:9" ht="12.75">
      <c r="A22" s="60" t="s">
        <v>216</v>
      </c>
      <c r="B22" s="99"/>
      <c r="C22" s="126">
        <v>19097</v>
      </c>
      <c r="D22" s="99"/>
      <c r="E22" s="126">
        <v>19097</v>
      </c>
      <c r="F22" s="92"/>
      <c r="G22" s="146">
        <f t="shared" si="0"/>
        <v>0</v>
      </c>
      <c r="H22" s="99"/>
      <c r="I22" s="126">
        <v>18133</v>
      </c>
    </row>
    <row r="23" spans="1:9" ht="12.75">
      <c r="A23" s="60" t="s">
        <v>288</v>
      </c>
      <c r="B23" s="99"/>
      <c r="C23" s="146">
        <v>3000</v>
      </c>
      <c r="D23" s="99"/>
      <c r="E23" s="146">
        <v>3000</v>
      </c>
      <c r="F23" s="146"/>
      <c r="G23" s="146">
        <f t="shared" si="0"/>
        <v>0</v>
      </c>
      <c r="H23" s="99"/>
      <c r="I23" s="146">
        <v>0</v>
      </c>
    </row>
    <row r="24" spans="2:9" ht="12.75">
      <c r="B24" s="99"/>
      <c r="C24" s="146"/>
      <c r="D24" s="99"/>
      <c r="E24" s="97"/>
      <c r="F24" s="146"/>
      <c r="G24" s="146"/>
      <c r="H24" s="99"/>
      <c r="I24" s="146"/>
    </row>
    <row r="25" spans="2:9" ht="12.75">
      <c r="B25" s="99"/>
      <c r="C25" s="126"/>
      <c r="D25" s="99"/>
      <c r="E25" s="127"/>
      <c r="F25" s="92"/>
      <c r="G25" s="146"/>
      <c r="H25" s="99"/>
      <c r="I25" s="127"/>
    </row>
    <row r="26" spans="1:12" ht="12.75">
      <c r="A26" s="104" t="s">
        <v>6</v>
      </c>
      <c r="B26" s="101"/>
      <c r="C26" s="166">
        <f>SUM(C12:C23)</f>
        <v>752779</v>
      </c>
      <c r="D26" s="101"/>
      <c r="E26" s="100">
        <f>SUM(E12:E25)</f>
        <v>752779</v>
      </c>
      <c r="F26" s="102"/>
      <c r="G26" s="100" t="s">
        <v>29</v>
      </c>
      <c r="H26" s="99"/>
      <c r="I26" s="144">
        <f>SUM(I12:I25)</f>
        <v>824248</v>
      </c>
      <c r="L26" s="99"/>
    </row>
    <row r="27" spans="2:9" ht="12.75">
      <c r="B27" s="99"/>
      <c r="C27" s="103"/>
      <c r="D27" s="99"/>
      <c r="E27" s="92"/>
      <c r="F27" s="92"/>
      <c r="G27" s="146"/>
      <c r="H27" s="99"/>
      <c r="I27" s="127"/>
    </row>
    <row r="28" spans="1:12" ht="12.75">
      <c r="A28" s="105" t="s">
        <v>0</v>
      </c>
      <c r="B28" s="106"/>
      <c r="C28" s="103"/>
      <c r="D28" s="99"/>
      <c r="E28" s="92"/>
      <c r="F28" s="92"/>
      <c r="G28" s="146"/>
      <c r="H28" s="99"/>
      <c r="I28" s="127"/>
      <c r="K28" s="128"/>
      <c r="L28" s="99"/>
    </row>
    <row r="29" spans="1:11" ht="12.75">
      <c r="A29" s="60" t="str">
        <f>'P&amp;L Details'!A26</f>
        <v>Staff Salaries</v>
      </c>
      <c r="B29" s="155"/>
      <c r="C29" s="154">
        <v>514247</v>
      </c>
      <c r="D29" s="155"/>
      <c r="E29" s="154">
        <v>514247</v>
      </c>
      <c r="F29" s="156"/>
      <c r="G29" s="146">
        <f>C29-E29</f>
        <v>0</v>
      </c>
      <c r="H29" s="99"/>
      <c r="I29" s="154">
        <v>511089</v>
      </c>
      <c r="J29" s="97"/>
      <c r="K29" s="128"/>
    </row>
    <row r="30" spans="1:11" ht="12.75">
      <c r="A30" s="60" t="str">
        <f>'P&amp;L Details'!A27</f>
        <v>Employers PRSI</v>
      </c>
      <c r="B30" s="155"/>
      <c r="C30" s="154">
        <v>46648</v>
      </c>
      <c r="D30" s="155"/>
      <c r="E30" s="154">
        <v>46648</v>
      </c>
      <c r="F30" s="156"/>
      <c r="G30" s="146">
        <f aca="true" t="shared" si="1" ref="G30:G67">C30-E30</f>
        <v>0</v>
      </c>
      <c r="H30" s="99"/>
      <c r="I30" s="154">
        <v>52171</v>
      </c>
      <c r="J30" s="97"/>
      <c r="K30" s="128"/>
    </row>
    <row r="31" spans="1:11" ht="12.75">
      <c r="A31" s="60" t="str">
        <f>'P&amp;L Details'!A29</f>
        <v>Staff Pension</v>
      </c>
      <c r="B31" s="155"/>
      <c r="C31" s="154">
        <v>4890</v>
      </c>
      <c r="D31" s="155"/>
      <c r="E31" s="154">
        <v>4890</v>
      </c>
      <c r="F31" s="156"/>
      <c r="G31" s="146">
        <f t="shared" si="1"/>
        <v>0</v>
      </c>
      <c r="H31" s="99"/>
      <c r="I31" s="154">
        <v>2952</v>
      </c>
      <c r="J31" s="97"/>
      <c r="K31" s="128"/>
    </row>
    <row r="32" spans="1:11" ht="12.75">
      <c r="A32" s="60" t="str">
        <f>'P&amp;L Details'!A30</f>
        <v>Recruitment</v>
      </c>
      <c r="B32" s="155"/>
      <c r="C32" s="155"/>
      <c r="D32" s="155"/>
      <c r="E32" s="155"/>
      <c r="F32" s="155"/>
      <c r="G32" s="146">
        <f t="shared" si="1"/>
        <v>0</v>
      </c>
      <c r="H32" s="99"/>
      <c r="I32" s="155">
        <v>0</v>
      </c>
      <c r="J32" s="97"/>
      <c r="K32" s="128"/>
    </row>
    <row r="33" spans="1:11" ht="12.75">
      <c r="A33" s="60" t="str">
        <f>'P&amp;L Details'!A31</f>
        <v>Staff Training</v>
      </c>
      <c r="B33" s="155"/>
      <c r="C33" s="154">
        <v>3293</v>
      </c>
      <c r="D33" s="155"/>
      <c r="E33" s="154">
        <v>3293</v>
      </c>
      <c r="F33" s="156"/>
      <c r="G33" s="146">
        <f t="shared" si="1"/>
        <v>0</v>
      </c>
      <c r="H33" s="99"/>
      <c r="I33" s="154">
        <f>9516+2920+500</f>
        <v>12936</v>
      </c>
      <c r="J33" s="97"/>
      <c r="K33" s="128"/>
    </row>
    <row r="34" spans="1:11" ht="12.75">
      <c r="A34" s="60" t="s">
        <v>235</v>
      </c>
      <c r="B34" s="155"/>
      <c r="C34" s="154">
        <v>-2000</v>
      </c>
      <c r="D34" s="155"/>
      <c r="E34" s="154">
        <v>-2000</v>
      </c>
      <c r="F34" s="156"/>
      <c r="G34" s="146">
        <f t="shared" si="1"/>
        <v>0</v>
      </c>
      <c r="H34" s="99"/>
      <c r="I34" s="154"/>
      <c r="J34" s="97"/>
      <c r="K34" s="128"/>
    </row>
    <row r="35" spans="1:11" ht="12.75">
      <c r="A35" s="60" t="str">
        <f>'P&amp;L Details'!A32</f>
        <v>Supervision Expenses</v>
      </c>
      <c r="B35" s="155"/>
      <c r="C35" s="154">
        <v>2770</v>
      </c>
      <c r="D35" s="155"/>
      <c r="E35" s="154">
        <v>2770</v>
      </c>
      <c r="F35" s="156"/>
      <c r="G35" s="146">
        <f t="shared" si="1"/>
        <v>0</v>
      </c>
      <c r="H35" s="99"/>
      <c r="I35" s="154">
        <v>3720</v>
      </c>
      <c r="J35" s="97"/>
      <c r="K35" s="128"/>
    </row>
    <row r="36" spans="1:11" ht="12.75">
      <c r="A36" s="60" t="str">
        <f>'P&amp;L Details'!A34</f>
        <v>Board Meeting Expenses</v>
      </c>
      <c r="B36" s="155"/>
      <c r="C36" s="154">
        <v>3375</v>
      </c>
      <c r="D36" s="155"/>
      <c r="E36" s="154">
        <v>3375</v>
      </c>
      <c r="F36" s="155"/>
      <c r="G36" s="146">
        <f t="shared" si="1"/>
        <v>0</v>
      </c>
      <c r="H36" s="97"/>
      <c r="I36" s="154">
        <v>2232</v>
      </c>
      <c r="J36" s="97"/>
      <c r="K36" s="128"/>
    </row>
    <row r="37" spans="1:11" ht="12.75">
      <c r="A37" s="60" t="str">
        <f>'P&amp;L Details'!A35</f>
        <v>Conference Costs</v>
      </c>
      <c r="B37" s="155"/>
      <c r="C37" s="155">
        <v>222</v>
      </c>
      <c r="D37" s="155"/>
      <c r="E37" s="155">
        <v>222</v>
      </c>
      <c r="F37" s="155"/>
      <c r="G37" s="146">
        <f t="shared" si="1"/>
        <v>0</v>
      </c>
      <c r="H37" s="99"/>
      <c r="I37" s="155">
        <f>'P&amp;L Details'!AG35</f>
        <v>0</v>
      </c>
      <c r="J37" s="97"/>
      <c r="K37" s="128"/>
    </row>
    <row r="38" spans="1:11" ht="12.75">
      <c r="A38" s="60" t="str">
        <f>'P&amp;L Details'!A36</f>
        <v>Rent, rates &amp; facilities mgt</v>
      </c>
      <c r="B38" s="155"/>
      <c r="C38" s="155">
        <v>46102</v>
      </c>
      <c r="D38" s="155"/>
      <c r="E38" s="155">
        <v>46102</v>
      </c>
      <c r="F38" s="155"/>
      <c r="G38" s="146">
        <f t="shared" si="1"/>
        <v>0</v>
      </c>
      <c r="H38" s="99"/>
      <c r="I38" s="155">
        <v>58766</v>
      </c>
      <c r="J38" s="97"/>
      <c r="K38" s="128"/>
    </row>
    <row r="39" spans="1:11" ht="12.75">
      <c r="A39" s="60" t="str">
        <f>'P&amp;L Details'!A37</f>
        <v>Heat and Light &amp; cleaning</v>
      </c>
      <c r="B39" s="155"/>
      <c r="C39" s="154">
        <v>9058</v>
      </c>
      <c r="D39" s="155"/>
      <c r="E39" s="154">
        <v>9058</v>
      </c>
      <c r="F39" s="156"/>
      <c r="G39" s="146">
        <f t="shared" si="1"/>
        <v>0</v>
      </c>
      <c r="H39" s="99"/>
      <c r="I39" s="154">
        <v>11395</v>
      </c>
      <c r="J39" s="97"/>
      <c r="K39" s="128"/>
    </row>
    <row r="40" spans="1:11" ht="12.75">
      <c r="A40" s="60" t="str">
        <f>'P&amp;L Details'!A38</f>
        <v>Staff/Volumteer event costs</v>
      </c>
      <c r="B40" s="155"/>
      <c r="C40" s="155">
        <v>1209</v>
      </c>
      <c r="D40" s="155"/>
      <c r="E40" s="155">
        <v>1209</v>
      </c>
      <c r="F40" s="156"/>
      <c r="G40" s="146">
        <f t="shared" si="1"/>
        <v>0</v>
      </c>
      <c r="H40" s="99"/>
      <c r="I40" s="155">
        <v>0</v>
      </c>
      <c r="J40" s="97"/>
      <c r="K40" s="128"/>
    </row>
    <row r="41" spans="1:11" ht="12.75">
      <c r="A41" s="60" t="str">
        <f>'P&amp;L Details'!A42</f>
        <v>Repairs</v>
      </c>
      <c r="B41" s="155"/>
      <c r="C41" s="154">
        <v>6413</v>
      </c>
      <c r="D41" s="155"/>
      <c r="E41" s="154">
        <v>6413</v>
      </c>
      <c r="F41" s="156"/>
      <c r="G41" s="146">
        <f t="shared" si="1"/>
        <v>0</v>
      </c>
      <c r="H41" s="99"/>
      <c r="I41" s="154">
        <v>6018</v>
      </c>
      <c r="J41" s="97"/>
      <c r="K41" s="128"/>
    </row>
    <row r="42" spans="1:11" ht="12.75">
      <c r="A42" s="60" t="s">
        <v>253</v>
      </c>
      <c r="B42" s="155"/>
      <c r="C42" s="155">
        <v>2200</v>
      </c>
      <c r="D42" s="155"/>
      <c r="E42" s="155">
        <v>2200</v>
      </c>
      <c r="F42" s="155"/>
      <c r="G42" s="146">
        <f t="shared" si="1"/>
        <v>0</v>
      </c>
      <c r="H42" s="99"/>
      <c r="I42" s="155">
        <f>'P&amp;L Details'!AG38</f>
        <v>0</v>
      </c>
      <c r="J42" s="97"/>
      <c r="K42" s="128"/>
    </row>
    <row r="43" spans="1:11" ht="12.75">
      <c r="A43" s="60" t="str">
        <f>'P&amp;L Details'!A43</f>
        <v>Computer Costs</v>
      </c>
      <c r="B43" s="155"/>
      <c r="C43" s="154">
        <v>15349</v>
      </c>
      <c r="D43" s="155"/>
      <c r="E43" s="154">
        <v>15349</v>
      </c>
      <c r="F43" s="156"/>
      <c r="G43" s="146">
        <f t="shared" si="1"/>
        <v>0</v>
      </c>
      <c r="H43" s="99"/>
      <c r="I43" s="154">
        <v>17708</v>
      </c>
      <c r="J43" s="97"/>
      <c r="K43" s="128"/>
    </row>
    <row r="44" spans="1:11" ht="12.75">
      <c r="A44" s="60" t="str">
        <f>'P&amp;L Details'!A45</f>
        <v>Printing , stationery, postage</v>
      </c>
      <c r="B44" s="155"/>
      <c r="C44" s="154">
        <v>2023</v>
      </c>
      <c r="D44" s="155"/>
      <c r="E44" s="154">
        <v>2023</v>
      </c>
      <c r="F44" s="156"/>
      <c r="G44" s="146">
        <f t="shared" si="1"/>
        <v>0</v>
      </c>
      <c r="H44" s="99"/>
      <c r="I44" s="154">
        <v>4492</v>
      </c>
      <c r="J44" s="97"/>
      <c r="K44" s="128"/>
    </row>
    <row r="45" spans="1:11" ht="12.75">
      <c r="A45" s="60" t="str">
        <f>'P&amp;L Details'!A46</f>
        <v>Telephone and Internet</v>
      </c>
      <c r="B45" s="155"/>
      <c r="C45" s="154">
        <v>9243</v>
      </c>
      <c r="D45" s="155"/>
      <c r="E45" s="154">
        <v>9243</v>
      </c>
      <c r="F45" s="156"/>
      <c r="G45" s="146">
        <f t="shared" si="1"/>
        <v>0</v>
      </c>
      <c r="H45" s="99"/>
      <c r="I45" s="154">
        <v>11690</v>
      </c>
      <c r="J45" s="97"/>
      <c r="K45" s="128"/>
    </row>
    <row r="46" spans="1:10" ht="12.75">
      <c r="A46" s="60" t="str">
        <f>'P&amp;L Details'!A47</f>
        <v>Bank Charges</v>
      </c>
      <c r="B46" s="155"/>
      <c r="C46" s="154">
        <v>909</v>
      </c>
      <c r="D46" s="155"/>
      <c r="E46" s="154">
        <v>909</v>
      </c>
      <c r="F46" s="156"/>
      <c r="G46" s="146">
        <f t="shared" si="1"/>
        <v>0</v>
      </c>
      <c r="H46" s="99"/>
      <c r="I46" s="154">
        <v>1002</v>
      </c>
      <c r="J46" s="97"/>
    </row>
    <row r="47" spans="1:10" ht="12.75">
      <c r="A47" s="60" t="s">
        <v>232</v>
      </c>
      <c r="B47" s="155"/>
      <c r="C47" s="154">
        <v>2855</v>
      </c>
      <c r="D47" s="155"/>
      <c r="E47" s="154">
        <v>2855</v>
      </c>
      <c r="F47" s="156"/>
      <c r="G47" s="146">
        <f t="shared" si="1"/>
        <v>0</v>
      </c>
      <c r="H47" s="99"/>
      <c r="I47" s="154">
        <v>2640</v>
      </c>
      <c r="J47" s="97"/>
    </row>
    <row r="48" spans="1:10" ht="12.75">
      <c r="A48" s="60" t="str">
        <f>'P&amp;L Details'!A48</f>
        <v>Insurance</v>
      </c>
      <c r="B48" s="155"/>
      <c r="C48" s="154">
        <v>15393</v>
      </c>
      <c r="D48" s="155"/>
      <c r="E48" s="154">
        <v>15393</v>
      </c>
      <c r="F48" s="156"/>
      <c r="G48" s="146">
        <f t="shared" si="1"/>
        <v>0</v>
      </c>
      <c r="H48" s="99"/>
      <c r="I48" s="154">
        <v>13567</v>
      </c>
      <c r="J48" s="97"/>
    </row>
    <row r="49" spans="1:10" ht="12.75">
      <c r="A49" s="60" t="s">
        <v>218</v>
      </c>
      <c r="B49" s="155"/>
      <c r="C49" s="154">
        <v>7950</v>
      </c>
      <c r="D49" s="155"/>
      <c r="E49" s="154">
        <v>7950</v>
      </c>
      <c r="F49" s="156"/>
      <c r="G49" s="146">
        <f t="shared" si="1"/>
        <v>0</v>
      </c>
      <c r="H49" s="99"/>
      <c r="I49" s="154">
        <v>3994</v>
      </c>
      <c r="J49" s="97"/>
    </row>
    <row r="50" spans="1:10" ht="12.75">
      <c r="A50" s="60" t="s">
        <v>243</v>
      </c>
      <c r="B50" s="155"/>
      <c r="C50" s="155">
        <v>3981.33</v>
      </c>
      <c r="D50" s="155"/>
      <c r="E50" s="155">
        <v>3981.33</v>
      </c>
      <c r="F50" s="156"/>
      <c r="G50" s="146">
        <f t="shared" si="1"/>
        <v>0</v>
      </c>
      <c r="H50" s="99"/>
      <c r="I50" s="155">
        <v>11135</v>
      </c>
      <c r="J50" s="97"/>
    </row>
    <row r="51" spans="1:10" ht="12.75">
      <c r="A51" s="60" t="s">
        <v>209</v>
      </c>
      <c r="B51" s="155"/>
      <c r="C51" s="155">
        <v>237</v>
      </c>
      <c r="D51" s="155"/>
      <c r="E51" s="155">
        <v>237</v>
      </c>
      <c r="F51" s="156"/>
      <c r="G51" s="146">
        <f t="shared" si="1"/>
        <v>0</v>
      </c>
      <c r="H51" s="99"/>
      <c r="I51" s="155">
        <v>385</v>
      </c>
      <c r="J51" s="97"/>
    </row>
    <row r="52" spans="1:10" ht="12.75">
      <c r="A52" s="60" t="s">
        <v>262</v>
      </c>
      <c r="B52" s="155"/>
      <c r="C52" s="154">
        <v>1485</v>
      </c>
      <c r="D52" s="155"/>
      <c r="E52" s="154">
        <v>1485</v>
      </c>
      <c r="F52" s="156"/>
      <c r="G52" s="146">
        <f t="shared" si="1"/>
        <v>0</v>
      </c>
      <c r="H52" s="99"/>
      <c r="I52" s="154">
        <v>1780</v>
      </c>
      <c r="J52" s="97"/>
    </row>
    <row r="53" spans="1:10" ht="12.75">
      <c r="A53" s="60" t="s">
        <v>254</v>
      </c>
      <c r="B53" s="155"/>
      <c r="C53" s="154"/>
      <c r="D53" s="155"/>
      <c r="E53" s="154"/>
      <c r="F53" s="156"/>
      <c r="G53" s="146">
        <f t="shared" si="1"/>
        <v>0</v>
      </c>
      <c r="H53" s="99"/>
      <c r="I53" s="154">
        <v>130</v>
      </c>
      <c r="J53" s="97"/>
    </row>
    <row r="54" spans="1:10" ht="12.75">
      <c r="A54" s="60" t="s">
        <v>255</v>
      </c>
      <c r="B54" s="155"/>
      <c r="C54" s="155">
        <v>2214</v>
      </c>
      <c r="D54" s="155"/>
      <c r="E54" s="155">
        <v>2214</v>
      </c>
      <c r="F54" s="156"/>
      <c r="G54" s="146">
        <f t="shared" si="1"/>
        <v>0</v>
      </c>
      <c r="H54" s="99"/>
      <c r="I54" s="155">
        <v>0</v>
      </c>
      <c r="J54" s="127"/>
    </row>
    <row r="55" spans="1:10" ht="12.75">
      <c r="A55" s="60" t="s">
        <v>205</v>
      </c>
      <c r="B55" s="155"/>
      <c r="C55" s="154"/>
      <c r="D55" s="155"/>
      <c r="E55" s="154"/>
      <c r="F55" s="156"/>
      <c r="G55" s="146">
        <f t="shared" si="1"/>
        <v>0</v>
      </c>
      <c r="H55" s="99"/>
      <c r="I55" s="154">
        <v>580</v>
      </c>
      <c r="J55" s="127"/>
    </row>
    <row r="56" spans="1:10" ht="12.75">
      <c r="A56" s="60" t="s">
        <v>206</v>
      </c>
      <c r="B56" s="155"/>
      <c r="C56" s="155"/>
      <c r="D56" s="155"/>
      <c r="E56" s="155"/>
      <c r="F56" s="156"/>
      <c r="G56" s="146">
        <f t="shared" si="1"/>
        <v>0</v>
      </c>
      <c r="H56" s="99"/>
      <c r="I56" s="155">
        <v>80</v>
      </c>
      <c r="J56" s="127"/>
    </row>
    <row r="57" spans="1:10" ht="12.75">
      <c r="A57" s="60" t="s">
        <v>210</v>
      </c>
      <c r="B57" s="155"/>
      <c r="C57" s="155">
        <v>3387</v>
      </c>
      <c r="D57" s="155"/>
      <c r="E57" s="155">
        <v>3387</v>
      </c>
      <c r="F57" s="156"/>
      <c r="G57" s="146">
        <f t="shared" si="1"/>
        <v>0</v>
      </c>
      <c r="H57" s="99"/>
      <c r="I57" s="155">
        <v>38</v>
      </c>
      <c r="J57" s="127"/>
    </row>
    <row r="58" spans="1:10" ht="12.75">
      <c r="A58" s="60" t="s">
        <v>204</v>
      </c>
      <c r="B58" s="155"/>
      <c r="C58" s="155">
        <v>6194</v>
      </c>
      <c r="D58" s="155"/>
      <c r="E58" s="155">
        <v>6194</v>
      </c>
      <c r="F58" s="156"/>
      <c r="G58" s="146">
        <f t="shared" si="1"/>
        <v>0</v>
      </c>
      <c r="H58" s="99"/>
      <c r="I58" s="155">
        <v>796</v>
      </c>
      <c r="J58" s="127"/>
    </row>
    <row r="59" spans="1:10" ht="12.75">
      <c r="A59" s="60" t="str">
        <f>'P&amp;L Details'!A57</f>
        <v>Travel and Subsistence</v>
      </c>
      <c r="B59" s="155"/>
      <c r="C59" s="154">
        <v>15626</v>
      </c>
      <c r="D59" s="155"/>
      <c r="E59" s="154">
        <v>15626</v>
      </c>
      <c r="F59" s="156"/>
      <c r="G59" s="146">
        <f t="shared" si="1"/>
        <v>0</v>
      </c>
      <c r="H59" s="99"/>
      <c r="I59" s="154">
        <v>20498</v>
      </c>
      <c r="J59" s="127"/>
    </row>
    <row r="60" spans="1:10" ht="12.75">
      <c r="A60" s="60" t="str">
        <f>'P&amp;L Details'!A58</f>
        <v>Membership and Subscriptions</v>
      </c>
      <c r="B60" s="155"/>
      <c r="C60" s="154">
        <v>3181</v>
      </c>
      <c r="D60" s="155"/>
      <c r="E60" s="154">
        <v>3181</v>
      </c>
      <c r="F60" s="156"/>
      <c r="G60" s="146">
        <f t="shared" si="1"/>
        <v>0</v>
      </c>
      <c r="H60" s="99"/>
      <c r="I60" s="154">
        <v>3457</v>
      </c>
      <c r="J60" s="127"/>
    </row>
    <row r="61" spans="1:10" ht="12.75">
      <c r="A61" s="60" t="s">
        <v>251</v>
      </c>
      <c r="B61" s="155"/>
      <c r="C61" s="154">
        <v>5817</v>
      </c>
      <c r="D61" s="155"/>
      <c r="E61" s="154">
        <v>5817</v>
      </c>
      <c r="F61" s="156"/>
      <c r="G61" s="146">
        <f t="shared" si="1"/>
        <v>0</v>
      </c>
      <c r="H61" s="99"/>
      <c r="I61" s="154">
        <v>0</v>
      </c>
      <c r="J61" s="127"/>
    </row>
    <row r="62" spans="1:10" ht="12.75">
      <c r="A62" s="60" t="str">
        <f>'P&amp;L Details'!A59</f>
        <v>Advertising </v>
      </c>
      <c r="B62" s="155"/>
      <c r="C62" s="154">
        <v>480</v>
      </c>
      <c r="D62" s="155"/>
      <c r="E62" s="154">
        <v>480</v>
      </c>
      <c r="F62" s="156"/>
      <c r="G62" s="146">
        <f t="shared" si="1"/>
        <v>0</v>
      </c>
      <c r="H62" s="99"/>
      <c r="I62" s="154">
        <f>2852+228</f>
        <v>3080</v>
      </c>
      <c r="J62" s="127"/>
    </row>
    <row r="63" spans="1:10" ht="12.75">
      <c r="A63" s="60" t="s">
        <v>252</v>
      </c>
      <c r="B63" s="155"/>
      <c r="C63" s="155">
        <v>4616</v>
      </c>
      <c r="D63" s="155"/>
      <c r="E63" s="155">
        <v>4616</v>
      </c>
      <c r="F63" s="155"/>
      <c r="G63" s="146">
        <f t="shared" si="1"/>
        <v>0</v>
      </c>
      <c r="H63" s="99"/>
      <c r="I63" s="155">
        <v>1600</v>
      </c>
      <c r="J63" s="127"/>
    </row>
    <row r="64" spans="1:10" ht="14.25" customHeight="1">
      <c r="A64" s="60" t="s">
        <v>219</v>
      </c>
      <c r="B64" s="155"/>
      <c r="C64" s="154">
        <v>10405</v>
      </c>
      <c r="D64" s="155"/>
      <c r="E64" s="154">
        <v>10405</v>
      </c>
      <c r="F64" s="156"/>
      <c r="G64" s="146">
        <f t="shared" si="1"/>
        <v>0</v>
      </c>
      <c r="H64" s="99"/>
      <c r="I64" s="154">
        <v>22470</v>
      </c>
      <c r="J64" s="127"/>
    </row>
    <row r="65" spans="1:10" ht="12.75">
      <c r="A65" s="60" t="s">
        <v>256</v>
      </c>
      <c r="B65" s="155"/>
      <c r="C65" s="155"/>
      <c r="D65" s="155"/>
      <c r="E65" s="155"/>
      <c r="F65" s="155"/>
      <c r="G65" s="146">
        <f t="shared" si="1"/>
        <v>0</v>
      </c>
      <c r="H65" s="99"/>
      <c r="I65" s="155">
        <v>0</v>
      </c>
      <c r="J65" s="127"/>
    </row>
    <row r="66" spans="1:10" ht="12.75" customHeight="1">
      <c r="A66" s="60" t="str">
        <f>'P&amp;L Details'!A61</f>
        <v>Audit Fees</v>
      </c>
      <c r="B66" s="155"/>
      <c r="C66" s="154">
        <v>5045</v>
      </c>
      <c r="D66" s="155"/>
      <c r="E66" s="154">
        <v>5045</v>
      </c>
      <c r="F66" s="155"/>
      <c r="G66" s="146">
        <f t="shared" si="1"/>
        <v>0</v>
      </c>
      <c r="H66" s="97"/>
      <c r="I66" s="154">
        <v>4850</v>
      </c>
      <c r="J66" s="127"/>
    </row>
    <row r="67" spans="1:10" ht="12.75">
      <c r="A67" s="60" t="str">
        <f>'P&amp;L Details'!A62</f>
        <v>Depreciation Charge</v>
      </c>
      <c r="B67" s="155"/>
      <c r="C67" s="154">
        <v>25564</v>
      </c>
      <c r="D67" s="155"/>
      <c r="E67" s="154">
        <v>25564</v>
      </c>
      <c r="F67" s="156"/>
      <c r="G67" s="146">
        <f t="shared" si="1"/>
        <v>0</v>
      </c>
      <c r="H67" s="99"/>
      <c r="I67" s="154">
        <v>25566</v>
      </c>
      <c r="J67" s="97"/>
    </row>
    <row r="68" spans="2:9" ht="12.75">
      <c r="B68" s="155"/>
      <c r="C68" s="154"/>
      <c r="D68" s="155"/>
      <c r="E68" s="156"/>
      <c r="F68" s="156"/>
      <c r="G68" s="156"/>
      <c r="H68" s="99"/>
      <c r="I68" s="127"/>
    </row>
    <row r="69" spans="1:9" ht="12.75">
      <c r="A69" s="104" t="s">
        <v>1</v>
      </c>
      <c r="B69" s="101"/>
      <c r="C69" s="167">
        <f>SUM(C29:C67)</f>
        <v>780381.33</v>
      </c>
      <c r="D69" s="101"/>
      <c r="E69" s="144">
        <f>SUM(E29:E68)</f>
        <v>780381.33</v>
      </c>
      <c r="F69" s="102"/>
      <c r="G69" s="144" t="s">
        <v>29</v>
      </c>
      <c r="H69" s="99"/>
      <c r="I69" s="144">
        <f>SUM(I29:I68)</f>
        <v>812817</v>
      </c>
    </row>
    <row r="70" spans="2:9" ht="12.75">
      <c r="B70" s="99"/>
      <c r="C70" s="126"/>
      <c r="D70" s="99"/>
      <c r="E70" s="92"/>
      <c r="F70" s="92"/>
      <c r="G70" s="99"/>
      <c r="H70" s="99"/>
      <c r="I70" s="127"/>
    </row>
    <row r="71" spans="2:9" ht="12.75">
      <c r="B71" s="99"/>
      <c r="C71" s="126"/>
      <c r="D71" s="99"/>
      <c r="E71" s="92"/>
      <c r="F71" s="92"/>
      <c r="G71" s="99"/>
      <c r="H71" s="99"/>
      <c r="I71" s="127"/>
    </row>
    <row r="72" spans="2:9" ht="12.75">
      <c r="B72" s="99"/>
      <c r="C72" s="126"/>
      <c r="D72" s="99"/>
      <c r="E72" s="92"/>
      <c r="F72" s="126"/>
      <c r="G72" s="99"/>
      <c r="H72" s="99"/>
      <c r="I72" s="127"/>
    </row>
    <row r="73" spans="1:12" ht="13.5" thickBot="1">
      <c r="A73" s="104" t="str">
        <f>'P&amp;L Details'!A68</f>
        <v>Surplus/(Deficit) for period</v>
      </c>
      <c r="B73" s="101"/>
      <c r="C73" s="168">
        <f>C26-C69+C71</f>
        <v>-27602.329999999958</v>
      </c>
      <c r="D73" s="98">
        <f>D26-D69</f>
        <v>0</v>
      </c>
      <c r="E73" s="144">
        <f>E26-E69+E71</f>
        <v>-27602.329999999958</v>
      </c>
      <c r="F73" s="102"/>
      <c r="G73" s="144" t="s">
        <v>29</v>
      </c>
      <c r="H73" s="102"/>
      <c r="I73" s="147">
        <f>I26-I69</f>
        <v>11431</v>
      </c>
      <c r="L73" s="13"/>
    </row>
    <row r="74" spans="2:9" ht="13.5" thickTop="1">
      <c r="B74" s="99"/>
      <c r="C74" s="103"/>
      <c r="D74" s="99"/>
      <c r="E74" s="102"/>
      <c r="F74" s="126"/>
      <c r="G74" s="99"/>
      <c r="H74" s="99"/>
      <c r="I74" s="127"/>
    </row>
    <row r="75" spans="2:9" ht="12.75">
      <c r="B75" s="99"/>
      <c r="C75" s="103"/>
      <c r="D75" s="99"/>
      <c r="E75" s="92"/>
      <c r="F75" s="92"/>
      <c r="G75" s="99"/>
      <c r="H75" s="99"/>
      <c r="I75" s="127"/>
    </row>
    <row r="76" spans="2:9" ht="12.75">
      <c r="B76" s="99"/>
      <c r="C76" s="103"/>
      <c r="D76" s="99"/>
      <c r="E76" s="92"/>
      <c r="F76" s="92"/>
      <c r="G76" s="99"/>
      <c r="H76" s="99"/>
      <c r="I76" s="127"/>
    </row>
    <row r="77" spans="1:9" ht="12.75">
      <c r="A77" s="104"/>
      <c r="B77" s="99"/>
      <c r="C77" s="103"/>
      <c r="D77" s="99"/>
      <c r="E77" s="92"/>
      <c r="F77" s="92"/>
      <c r="G77" s="99"/>
      <c r="H77" s="99"/>
      <c r="I77" s="127"/>
    </row>
    <row r="78" spans="2:9" ht="12.75">
      <c r="B78" s="99"/>
      <c r="C78" s="103"/>
      <c r="D78" s="99"/>
      <c r="E78" s="92"/>
      <c r="F78" s="92"/>
      <c r="G78" s="99"/>
      <c r="H78" s="99"/>
      <c r="I78" s="127"/>
    </row>
    <row r="79" spans="2:9" ht="12.75">
      <c r="B79" s="99"/>
      <c r="C79" s="103"/>
      <c r="D79" s="99"/>
      <c r="E79" s="92"/>
      <c r="F79" s="92"/>
      <c r="G79" s="99"/>
      <c r="H79" s="99"/>
      <c r="I79" s="127"/>
    </row>
    <row r="80" spans="2:9" ht="12.75">
      <c r="B80" s="99"/>
      <c r="C80" s="103"/>
      <c r="D80" s="99"/>
      <c r="E80" s="92"/>
      <c r="F80" s="92"/>
      <c r="G80" s="99"/>
      <c r="H80" s="99"/>
      <c r="I80" s="127"/>
    </row>
    <row r="81" spans="2:9" ht="12.75">
      <c r="B81" s="99"/>
      <c r="C81" s="103"/>
      <c r="D81" s="99"/>
      <c r="E81" s="92"/>
      <c r="F81" s="92"/>
      <c r="G81" s="99"/>
      <c r="H81" s="99"/>
      <c r="I81" s="127"/>
    </row>
    <row r="82" spans="2:9" ht="12.75">
      <c r="B82" s="99"/>
      <c r="C82" s="103"/>
      <c r="D82" s="99"/>
      <c r="E82" s="92"/>
      <c r="F82" s="92"/>
      <c r="G82" s="99"/>
      <c r="H82" s="99"/>
      <c r="I82" s="127"/>
    </row>
    <row r="83" spans="2:9" ht="12.75">
      <c r="B83" s="99"/>
      <c r="C83" s="103"/>
      <c r="D83" s="99"/>
      <c r="E83" s="92"/>
      <c r="F83" s="92"/>
      <c r="G83" s="99"/>
      <c r="H83" s="99"/>
      <c r="I83" s="127"/>
    </row>
    <row r="84" spans="2:9" ht="12.75">
      <c r="B84" s="99"/>
      <c r="C84" s="103"/>
      <c r="D84" s="99"/>
      <c r="E84" s="92"/>
      <c r="F84" s="92"/>
      <c r="G84" s="99"/>
      <c r="H84" s="99"/>
      <c r="I84" s="127"/>
    </row>
    <row r="85" spans="2:9" ht="12.75">
      <c r="B85" s="99"/>
      <c r="C85" s="103"/>
      <c r="D85" s="99"/>
      <c r="E85" s="92"/>
      <c r="F85" s="92"/>
      <c r="G85" s="99"/>
      <c r="H85" s="99"/>
      <c r="I85" s="127"/>
    </row>
    <row r="86" spans="2:9" ht="12.75">
      <c r="B86" s="99"/>
      <c r="C86" s="103"/>
      <c r="D86" s="99"/>
      <c r="E86" s="92"/>
      <c r="F86" s="92"/>
      <c r="G86" s="99"/>
      <c r="H86" s="99"/>
      <c r="I86" s="127"/>
    </row>
    <row r="87" spans="2:9" ht="12.75">
      <c r="B87" s="99"/>
      <c r="C87" s="103"/>
      <c r="D87" s="99"/>
      <c r="E87" s="92"/>
      <c r="F87" s="92"/>
      <c r="G87" s="99"/>
      <c r="H87" s="99"/>
      <c r="I87" s="127"/>
    </row>
    <row r="88" spans="2:9" ht="12.75">
      <c r="B88" s="99"/>
      <c r="C88" s="103"/>
      <c r="D88" s="99"/>
      <c r="E88" s="92"/>
      <c r="F88" s="92"/>
      <c r="G88" s="99"/>
      <c r="H88" s="99"/>
      <c r="I88" s="127"/>
    </row>
    <row r="89" spans="2:9" ht="12.75">
      <c r="B89" s="99"/>
      <c r="C89" s="103"/>
      <c r="D89" s="99"/>
      <c r="E89" s="92"/>
      <c r="F89" s="92"/>
      <c r="G89" s="99"/>
      <c r="H89" s="99"/>
      <c r="I89" s="127"/>
    </row>
    <row r="90" spans="2:9" ht="12.75">
      <c r="B90" s="99"/>
      <c r="C90" s="103"/>
      <c r="D90" s="99"/>
      <c r="E90" s="92"/>
      <c r="F90" s="92"/>
      <c r="G90" s="99"/>
      <c r="H90" s="99"/>
      <c r="I90" s="127"/>
    </row>
    <row r="91" spans="2:9" ht="12.75">
      <c r="B91" s="99"/>
      <c r="C91" s="103"/>
      <c r="D91" s="99"/>
      <c r="E91" s="92"/>
      <c r="F91" s="92"/>
      <c r="G91" s="99"/>
      <c r="H91" s="99"/>
      <c r="I91" s="127"/>
    </row>
    <row r="92" spans="2:9" ht="12.75">
      <c r="B92" s="99"/>
      <c r="C92" s="103"/>
      <c r="D92" s="99"/>
      <c r="E92" s="92"/>
      <c r="F92" s="92"/>
      <c r="G92" s="99"/>
      <c r="H92" s="99"/>
      <c r="I92" s="127"/>
    </row>
    <row r="93" spans="2:9" ht="12.75">
      <c r="B93" s="99"/>
      <c r="C93" s="103"/>
      <c r="D93" s="99"/>
      <c r="E93" s="92"/>
      <c r="F93" s="92"/>
      <c r="G93" s="99"/>
      <c r="H93" s="99"/>
      <c r="I93" s="127"/>
    </row>
    <row r="94" spans="2:9" ht="12.75">
      <c r="B94" s="99"/>
      <c r="C94" s="103"/>
      <c r="D94" s="99"/>
      <c r="E94" s="92"/>
      <c r="F94" s="92"/>
      <c r="G94" s="99"/>
      <c r="H94" s="99"/>
      <c r="I94" s="127"/>
    </row>
    <row r="95" spans="2:9" ht="12.75">
      <c r="B95" s="99"/>
      <c r="C95" s="103"/>
      <c r="D95" s="99"/>
      <c r="E95" s="92"/>
      <c r="F95" s="92"/>
      <c r="G95" s="99"/>
      <c r="H95" s="99"/>
      <c r="I95" s="127"/>
    </row>
    <row r="96" spans="2:9" ht="12.75">
      <c r="B96" s="99"/>
      <c r="C96" s="103"/>
      <c r="D96" s="99"/>
      <c r="E96" s="92"/>
      <c r="F96" s="92"/>
      <c r="G96" s="99"/>
      <c r="H96" s="99"/>
      <c r="I96" s="127"/>
    </row>
    <row r="97" spans="2:9" ht="12.75">
      <c r="B97" s="99"/>
      <c r="C97" s="103"/>
      <c r="D97" s="99"/>
      <c r="E97" s="92"/>
      <c r="F97" s="92"/>
      <c r="G97" s="99"/>
      <c r="H97" s="99"/>
      <c r="I97" s="127"/>
    </row>
    <row r="98" spans="2:9" ht="12.75">
      <c r="B98" s="99"/>
      <c r="C98" s="103"/>
      <c r="D98" s="99"/>
      <c r="E98" s="92"/>
      <c r="F98" s="92"/>
      <c r="G98" s="99"/>
      <c r="H98" s="99"/>
      <c r="I98" s="127"/>
    </row>
    <row r="99" spans="2:9" ht="12.75">
      <c r="B99" s="99"/>
      <c r="C99" s="103"/>
      <c r="D99" s="99"/>
      <c r="E99" s="92"/>
      <c r="F99" s="92"/>
      <c r="G99" s="99"/>
      <c r="H99" s="99"/>
      <c r="I99" s="127"/>
    </row>
    <row r="100" spans="2:9" ht="12.75">
      <c r="B100" s="99"/>
      <c r="C100" s="103"/>
      <c r="D100" s="99"/>
      <c r="E100" s="92"/>
      <c r="F100" s="92"/>
      <c r="G100" s="99"/>
      <c r="H100" s="99"/>
      <c r="I100" s="127"/>
    </row>
    <row r="101" spans="2:9" ht="12.75">
      <c r="B101" s="99"/>
      <c r="C101" s="103"/>
      <c r="D101" s="99"/>
      <c r="E101" s="92"/>
      <c r="F101" s="92"/>
      <c r="G101" s="99"/>
      <c r="H101" s="99"/>
      <c r="I101" s="127"/>
    </row>
    <row r="102" spans="2:9" ht="12.75">
      <c r="B102" s="99"/>
      <c r="C102" s="103"/>
      <c r="D102" s="99"/>
      <c r="E102" s="92"/>
      <c r="F102" s="92"/>
      <c r="G102" s="99"/>
      <c r="H102" s="99"/>
      <c r="I102" s="127"/>
    </row>
  </sheetData>
  <sheetProtection/>
  <mergeCells count="4">
    <mergeCell ref="B1:I1"/>
    <mergeCell ref="B4:I4"/>
    <mergeCell ref="B3:I3"/>
    <mergeCell ref="C2:I2"/>
  </mergeCells>
  <printOptions/>
  <pageMargins left="0.7" right="0.7" top="0.75" bottom="0.75" header="0.3" footer="0.3"/>
  <pageSetup fitToHeight="1" fitToWidth="1" horizontalDpi="600" verticalDpi="600" orientation="portrait" paperSize="9" scale="70"/>
  <headerFooter alignWithMargins="0">
    <oddFooter>&amp;C&amp;P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77"/>
  <sheetViews>
    <sheetView tabSelected="1" zoomScale="98" zoomScaleNormal="98" workbookViewId="0" topLeftCell="A1">
      <pane xSplit="2" ySplit="10" topLeftCell="J52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AA67" sqref="AA67"/>
    </sheetView>
  </sheetViews>
  <sheetFormatPr defaultColWidth="6.00390625" defaultRowHeight="12.75"/>
  <cols>
    <col min="1" max="1" width="27.00390625" style="2" customWidth="1"/>
    <col min="2" max="2" width="2.7109375" style="2" customWidth="1"/>
    <col min="3" max="3" width="11.421875" style="60" hidden="1" customWidth="1"/>
    <col min="4" max="4" width="0.85546875" style="60" hidden="1" customWidth="1"/>
    <col min="5" max="5" width="10.8515625" style="2" hidden="1" customWidth="1"/>
    <col min="6" max="6" width="0.85546875" style="2" hidden="1" customWidth="1"/>
    <col min="7" max="7" width="10.8515625" style="2" hidden="1" customWidth="1"/>
    <col min="8" max="8" width="0.71875" style="2" hidden="1" customWidth="1"/>
    <col min="9" max="9" width="11.421875" style="2" hidden="1" customWidth="1"/>
    <col min="10" max="10" width="0.71875" style="2" customWidth="1"/>
    <col min="11" max="11" width="11.421875" style="2" bestFit="1" customWidth="1"/>
    <col min="12" max="12" width="0.85546875" style="2" customWidth="1"/>
    <col min="13" max="13" width="11.421875" style="2" bestFit="1" customWidth="1"/>
    <col min="14" max="14" width="0.9921875" style="2" customWidth="1"/>
    <col min="15" max="15" width="10.7109375" style="2" customWidth="1"/>
    <col min="16" max="16" width="0.85546875" style="2" customWidth="1"/>
    <col min="17" max="17" width="10.7109375" style="2" customWidth="1"/>
    <col min="18" max="18" width="0.71875" style="2" customWidth="1"/>
    <col min="19" max="19" width="10.7109375" style="2" customWidth="1"/>
    <col min="20" max="20" width="0.71875" style="2" customWidth="1"/>
    <col min="21" max="21" width="11.140625" style="2" customWidth="1"/>
    <col min="22" max="22" width="0.85546875" style="2" customWidth="1"/>
    <col min="23" max="23" width="11.00390625" style="2" customWidth="1"/>
    <col min="24" max="24" width="0.85546875" style="2" customWidth="1"/>
    <col min="25" max="25" width="11.00390625" style="2" customWidth="1"/>
    <col min="26" max="26" width="0.42578125" style="2" customWidth="1"/>
    <col min="27" max="27" width="12.421875" style="60" customWidth="1"/>
    <col min="28" max="28" width="6.00390625" style="2" customWidth="1"/>
    <col min="29" max="29" width="1.421875" style="2" bestFit="1" customWidth="1"/>
    <col min="30" max="30" width="7.00390625" style="2" bestFit="1" customWidth="1"/>
    <col min="31" max="31" width="6.00390625" style="2" customWidth="1"/>
    <col min="32" max="32" width="9.00390625" style="2" bestFit="1" customWidth="1"/>
    <col min="33" max="16384" width="6.00390625" style="2" customWidth="1"/>
  </cols>
  <sheetData>
    <row r="1" ht="13.5" thickBot="1">
      <c r="A1" s="122"/>
    </row>
    <row r="2" spans="1:27" ht="12.75">
      <c r="A2" s="121"/>
      <c r="B2" s="182" t="s">
        <v>200</v>
      </c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  <c r="W2" s="182"/>
      <c r="X2" s="182"/>
      <c r="Y2" s="182"/>
      <c r="Z2" s="182"/>
      <c r="AA2" s="197"/>
    </row>
    <row r="3" spans="1:31" ht="19.5">
      <c r="A3" s="17"/>
      <c r="B3" s="186" t="s">
        <v>289</v>
      </c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  <c r="S3" s="186"/>
      <c r="T3" s="186"/>
      <c r="U3" s="186"/>
      <c r="V3" s="186"/>
      <c r="W3" s="186"/>
      <c r="X3" s="186"/>
      <c r="Y3" s="186"/>
      <c r="Z3" s="186"/>
      <c r="AA3" s="200"/>
      <c r="AE3" s="2" t="s">
        <v>159</v>
      </c>
    </row>
    <row r="4" spans="1:27" ht="8.25" customHeight="1">
      <c r="A4" s="17"/>
      <c r="B4" s="190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  <c r="P4" s="190"/>
      <c r="Q4" s="190"/>
      <c r="R4" s="190"/>
      <c r="S4" s="190"/>
      <c r="T4" s="190"/>
      <c r="U4" s="190"/>
      <c r="V4" s="190"/>
      <c r="W4" s="190"/>
      <c r="X4" s="190"/>
      <c r="Y4" s="190"/>
      <c r="Z4" s="190"/>
      <c r="AA4" s="199"/>
    </row>
    <row r="5" spans="1:27" ht="27" customHeight="1" thickBot="1">
      <c r="A5" s="119"/>
      <c r="B5" s="194"/>
      <c r="C5" s="194"/>
      <c r="D5" s="194"/>
      <c r="E5" s="194"/>
      <c r="F5" s="194"/>
      <c r="G5" s="194"/>
      <c r="H5" s="194"/>
      <c r="I5" s="194"/>
      <c r="J5" s="194"/>
      <c r="K5" s="194"/>
      <c r="L5" s="194"/>
      <c r="M5" s="194"/>
      <c r="N5" s="194"/>
      <c r="O5" s="194"/>
      <c r="P5" s="194"/>
      <c r="Q5" s="194"/>
      <c r="R5" s="194"/>
      <c r="S5" s="194"/>
      <c r="T5" s="194"/>
      <c r="U5" s="194"/>
      <c r="V5" s="194"/>
      <c r="W5" s="194"/>
      <c r="X5" s="194"/>
      <c r="Y5" s="194"/>
      <c r="Z5" s="194"/>
      <c r="AA5" s="198"/>
    </row>
    <row r="6" ht="7.5" customHeight="1" thickBot="1"/>
    <row r="7" spans="3:27" ht="7.5" customHeight="1">
      <c r="C7" s="47"/>
      <c r="D7" s="13"/>
      <c r="E7" s="47"/>
      <c r="F7" s="13"/>
      <c r="G7" s="47"/>
      <c r="H7" s="13"/>
      <c r="I7" s="47"/>
      <c r="J7" s="151"/>
      <c r="K7" s="47"/>
      <c r="L7" s="151"/>
      <c r="M7" s="47"/>
      <c r="N7" s="13"/>
      <c r="O7" s="148"/>
      <c r="P7" s="13"/>
      <c r="Q7" s="148"/>
      <c r="R7" s="13"/>
      <c r="S7" s="148"/>
      <c r="T7" s="13"/>
      <c r="U7" s="148"/>
      <c r="V7" s="13"/>
      <c r="W7" s="148"/>
      <c r="X7" s="13"/>
      <c r="Y7" s="47"/>
      <c r="AA7" s="88"/>
    </row>
    <row r="8" spans="3:27" ht="42">
      <c r="C8" s="93" t="s">
        <v>223</v>
      </c>
      <c r="D8" s="45"/>
      <c r="E8" s="50" t="s">
        <v>222</v>
      </c>
      <c r="F8" s="45"/>
      <c r="G8" s="94" t="s">
        <v>220</v>
      </c>
      <c r="H8" s="45"/>
      <c r="I8" s="94" t="s">
        <v>221</v>
      </c>
      <c r="J8" s="150"/>
      <c r="K8" s="94" t="s">
        <v>303</v>
      </c>
      <c r="L8" s="150"/>
      <c r="M8" s="93" t="s">
        <v>227</v>
      </c>
      <c r="N8" s="45"/>
      <c r="O8" s="93" t="s">
        <v>224</v>
      </c>
      <c r="P8" s="45"/>
      <c r="Q8" s="93" t="s">
        <v>234</v>
      </c>
      <c r="R8" s="45"/>
      <c r="S8" s="93" t="s">
        <v>239</v>
      </c>
      <c r="T8" s="46"/>
      <c r="U8" s="93" t="s">
        <v>238</v>
      </c>
      <c r="V8" s="46"/>
      <c r="W8" s="93" t="s">
        <v>304</v>
      </c>
      <c r="X8" s="46"/>
      <c r="Y8" s="94" t="s">
        <v>233</v>
      </c>
      <c r="Z8" s="3"/>
      <c r="AA8" s="89" t="s">
        <v>6</v>
      </c>
    </row>
    <row r="9" spans="3:27" ht="15" thickBot="1">
      <c r="C9" s="49" t="s">
        <v>7</v>
      </c>
      <c r="D9" s="46"/>
      <c r="E9" s="49" t="s">
        <v>7</v>
      </c>
      <c r="F9" s="46"/>
      <c r="G9" s="49" t="s">
        <v>7</v>
      </c>
      <c r="H9" s="46"/>
      <c r="I9" s="49" t="s">
        <v>7</v>
      </c>
      <c r="J9" s="152"/>
      <c r="K9" s="49" t="s">
        <v>7</v>
      </c>
      <c r="L9" s="152"/>
      <c r="M9" s="49" t="s">
        <v>7</v>
      </c>
      <c r="N9" s="46"/>
      <c r="O9" s="149" t="s">
        <v>7</v>
      </c>
      <c r="P9" s="46"/>
      <c r="Q9" s="149" t="s">
        <v>7</v>
      </c>
      <c r="R9" s="153"/>
      <c r="S9" s="149" t="s">
        <v>7</v>
      </c>
      <c r="T9" s="46"/>
      <c r="U9" s="149" t="s">
        <v>7</v>
      </c>
      <c r="V9" s="46"/>
      <c r="W9" s="149"/>
      <c r="X9" s="46"/>
      <c r="Y9" s="49" t="s">
        <v>7</v>
      </c>
      <c r="Z9" s="3"/>
      <c r="AA9" s="90" t="s">
        <v>7</v>
      </c>
    </row>
    <row r="10" spans="6:18" ht="6.75" customHeight="1">
      <c r="F10" s="13"/>
      <c r="M10" s="13"/>
      <c r="N10" s="13"/>
      <c r="P10" s="13"/>
      <c r="Q10" s="13"/>
      <c r="R10" s="13"/>
    </row>
    <row r="11" spans="1:28" ht="12.75">
      <c r="A11" s="5" t="s">
        <v>8</v>
      </c>
      <c r="B11" s="5"/>
      <c r="E11" s="60"/>
      <c r="F11" s="13"/>
      <c r="G11" s="60"/>
      <c r="H11" s="60"/>
      <c r="I11" s="60"/>
      <c r="J11" s="60"/>
      <c r="K11" s="60"/>
      <c r="L11" s="60"/>
      <c r="M11" s="13"/>
      <c r="N11" s="13"/>
      <c r="O11" s="60"/>
      <c r="P11" s="13"/>
      <c r="Q11" s="13"/>
      <c r="R11" s="13"/>
      <c r="S11" s="60"/>
      <c r="T11" s="60"/>
      <c r="U11" s="60"/>
      <c r="V11" s="60"/>
      <c r="W11" s="60"/>
      <c r="X11" s="60"/>
      <c r="Y11" s="60"/>
      <c r="Z11" s="60"/>
      <c r="AB11" s="60"/>
    </row>
    <row r="12" spans="1:32" ht="12.75">
      <c r="A12" s="60" t="str">
        <f>'P&amp;L Details'!A12</f>
        <v>CPP Income</v>
      </c>
      <c r="B12" s="60"/>
      <c r="C12" s="61">
        <v>151313</v>
      </c>
      <c r="D12" s="61"/>
      <c r="E12" s="61">
        <v>70000</v>
      </c>
      <c r="F12" s="61"/>
      <c r="G12" s="61">
        <v>93313</v>
      </c>
      <c r="H12" s="61"/>
      <c r="I12" s="61">
        <v>22000</v>
      </c>
      <c r="J12" s="61"/>
      <c r="K12" s="61">
        <f>SUM(C12:I12)</f>
        <v>336626</v>
      </c>
      <c r="L12" s="61"/>
      <c r="M12" s="61">
        <v>0</v>
      </c>
      <c r="N12" s="61"/>
      <c r="O12" s="61">
        <v>0</v>
      </c>
      <c r="P12" s="61"/>
      <c r="Q12" s="61"/>
      <c r="R12" s="61"/>
      <c r="S12" s="61">
        <v>0</v>
      </c>
      <c r="T12" s="61"/>
      <c r="U12" s="61"/>
      <c r="V12" s="61"/>
      <c r="W12" s="61"/>
      <c r="X12" s="61"/>
      <c r="Y12" s="61">
        <v>0</v>
      </c>
      <c r="Z12" s="61"/>
      <c r="AA12" s="61">
        <f>SUM(K12:Y12)</f>
        <v>336626</v>
      </c>
      <c r="AB12" s="97"/>
      <c r="AC12" s="60"/>
      <c r="AD12" s="60"/>
      <c r="AF12" s="9"/>
    </row>
    <row r="13" spans="1:30" ht="12.75">
      <c r="A13" s="60" t="s">
        <v>192</v>
      </c>
      <c r="B13" s="60"/>
      <c r="D13" s="61"/>
      <c r="E13" s="61">
        <v>0</v>
      </c>
      <c r="F13" s="61"/>
      <c r="G13" s="61">
        <v>0</v>
      </c>
      <c r="H13" s="61"/>
      <c r="I13" s="61">
        <v>0</v>
      </c>
      <c r="J13" s="61"/>
      <c r="K13" s="61">
        <f>SUM(C13:I13)</f>
        <v>0</v>
      </c>
      <c r="L13" s="61"/>
      <c r="M13" s="61">
        <v>226382</v>
      </c>
      <c r="N13" s="61"/>
      <c r="O13" s="61">
        <v>0</v>
      </c>
      <c r="P13" s="61"/>
      <c r="Q13" s="61"/>
      <c r="R13" s="61"/>
      <c r="S13" s="61">
        <v>0</v>
      </c>
      <c r="T13" s="61"/>
      <c r="U13" s="61"/>
      <c r="V13" s="61"/>
      <c r="W13" s="61"/>
      <c r="X13" s="61"/>
      <c r="Y13" s="61">
        <v>0</v>
      </c>
      <c r="Z13" s="61"/>
      <c r="AA13" s="61">
        <f aca="true" t="shared" si="0" ref="AA13:AA22">SUM(K13:Y13)</f>
        <v>226382</v>
      </c>
      <c r="AB13" s="60"/>
      <c r="AC13" s="60"/>
      <c r="AD13" s="60"/>
    </row>
    <row r="14" spans="1:30" ht="12.75">
      <c r="A14" s="60" t="str">
        <f>'P&amp;L Details'!A14</f>
        <v>Donations and Subscriptions </v>
      </c>
      <c r="B14" s="60"/>
      <c r="C14" s="61">
        <v>0</v>
      </c>
      <c r="D14" s="61"/>
      <c r="E14" s="61">
        <v>0</v>
      </c>
      <c r="F14" s="61"/>
      <c r="G14" s="61">
        <v>0</v>
      </c>
      <c r="H14" s="61"/>
      <c r="I14" s="61">
        <v>0</v>
      </c>
      <c r="J14" s="61"/>
      <c r="K14" s="61">
        <f>SUM(C14:I14)</f>
        <v>0</v>
      </c>
      <c r="L14" s="61"/>
      <c r="M14" s="61">
        <v>0</v>
      </c>
      <c r="N14" s="61"/>
      <c r="O14" s="61">
        <v>0</v>
      </c>
      <c r="P14" s="61"/>
      <c r="Q14" s="61"/>
      <c r="R14" s="61"/>
      <c r="S14" s="61">
        <v>0</v>
      </c>
      <c r="T14" s="61"/>
      <c r="U14" s="61"/>
      <c r="V14" s="61"/>
      <c r="W14" s="61"/>
      <c r="X14" s="61"/>
      <c r="Y14" s="61">
        <v>2325</v>
      </c>
      <c r="Z14" s="61"/>
      <c r="AA14" s="61">
        <f t="shared" si="0"/>
        <v>2325</v>
      </c>
      <c r="AB14" s="60"/>
      <c r="AC14" s="60"/>
      <c r="AD14" s="97"/>
    </row>
    <row r="15" spans="1:33" ht="12.75">
      <c r="A15" s="60" t="s">
        <v>228</v>
      </c>
      <c r="B15" s="60"/>
      <c r="C15" s="61">
        <v>0</v>
      </c>
      <c r="D15" s="61"/>
      <c r="E15" s="61">
        <v>0</v>
      </c>
      <c r="F15" s="61"/>
      <c r="G15" s="61">
        <v>0</v>
      </c>
      <c r="H15" s="61"/>
      <c r="I15" s="61">
        <v>0</v>
      </c>
      <c r="J15" s="61"/>
      <c r="K15" s="61">
        <f>SUM(C15:I15)</f>
        <v>0</v>
      </c>
      <c r="L15" s="61"/>
      <c r="M15" s="61">
        <v>0</v>
      </c>
      <c r="N15" s="61"/>
      <c r="O15" s="61">
        <v>129200</v>
      </c>
      <c r="P15" s="61"/>
      <c r="Q15" s="61"/>
      <c r="R15" s="61"/>
      <c r="S15" s="61">
        <v>0</v>
      </c>
      <c r="T15" s="61"/>
      <c r="U15" s="61"/>
      <c r="V15" s="61"/>
      <c r="W15" s="61"/>
      <c r="X15" s="61"/>
      <c r="Y15" s="61">
        <v>0</v>
      </c>
      <c r="Z15" s="61"/>
      <c r="AA15" s="61">
        <f>SUM(K15:Y15)</f>
        <v>129200</v>
      </c>
      <c r="AB15" s="60"/>
      <c r="AC15" s="60"/>
      <c r="AD15" s="60"/>
      <c r="AE15" s="60"/>
      <c r="AF15" s="60"/>
      <c r="AG15" s="60"/>
    </row>
    <row r="16" spans="1:33" ht="12.75">
      <c r="A16" s="60" t="s">
        <v>244</v>
      </c>
      <c r="B16" s="60"/>
      <c r="C16" s="61">
        <v>0</v>
      </c>
      <c r="D16" s="61"/>
      <c r="E16" s="61"/>
      <c r="F16" s="61"/>
      <c r="G16" s="61">
        <v>0</v>
      </c>
      <c r="H16" s="61"/>
      <c r="I16" s="61"/>
      <c r="J16" s="61"/>
      <c r="K16" s="61">
        <f>SUM(C16:I16)</f>
        <v>0</v>
      </c>
      <c r="L16" s="61"/>
      <c r="M16" s="61">
        <v>0</v>
      </c>
      <c r="N16" s="61"/>
      <c r="O16" s="61">
        <v>0</v>
      </c>
      <c r="P16" s="61"/>
      <c r="Q16" s="61"/>
      <c r="R16" s="61"/>
      <c r="S16" s="61">
        <v>0</v>
      </c>
      <c r="T16" s="61"/>
      <c r="U16" s="61"/>
      <c r="V16" s="61"/>
      <c r="W16" s="61">
        <v>10500</v>
      </c>
      <c r="X16" s="61"/>
      <c r="Y16" s="61"/>
      <c r="Z16" s="61"/>
      <c r="AA16" s="61">
        <f t="shared" si="0"/>
        <v>10500</v>
      </c>
      <c r="AB16" s="60"/>
      <c r="AC16" s="60"/>
      <c r="AD16" s="60"/>
      <c r="AE16" s="60"/>
      <c r="AF16" s="97"/>
      <c r="AG16" s="60"/>
    </row>
    <row r="17" spans="1:33" ht="12.75">
      <c r="A17" s="60" t="s">
        <v>217</v>
      </c>
      <c r="B17" s="60"/>
      <c r="C17" s="61">
        <v>0</v>
      </c>
      <c r="D17" s="61"/>
      <c r="E17" s="61">
        <v>0</v>
      </c>
      <c r="F17" s="61"/>
      <c r="G17" s="61">
        <v>0</v>
      </c>
      <c r="H17" s="61"/>
      <c r="I17" s="61">
        <v>0</v>
      </c>
      <c r="J17" s="61"/>
      <c r="K17" s="61">
        <v>0</v>
      </c>
      <c r="L17" s="61"/>
      <c r="M17" s="61">
        <v>4373</v>
      </c>
      <c r="N17" s="61"/>
      <c r="O17" s="61">
        <v>0</v>
      </c>
      <c r="P17" s="61"/>
      <c r="Q17" s="61"/>
      <c r="R17" s="61"/>
      <c r="S17" s="61">
        <v>0</v>
      </c>
      <c r="T17" s="61"/>
      <c r="U17" s="61"/>
      <c r="V17" s="61"/>
      <c r="W17" s="61"/>
      <c r="X17" s="61"/>
      <c r="Y17" s="61">
        <v>0</v>
      </c>
      <c r="Z17" s="61"/>
      <c r="AA17" s="61">
        <f>SUM(K17:Y17)</f>
        <v>4373</v>
      </c>
      <c r="AB17" s="60"/>
      <c r="AC17" s="60"/>
      <c r="AD17" s="60"/>
      <c r="AE17" s="60"/>
      <c r="AF17" s="60"/>
      <c r="AG17" s="60"/>
    </row>
    <row r="18" spans="1:33" ht="12.75">
      <c r="A18" s="60" t="s">
        <v>212</v>
      </c>
      <c r="B18" s="60"/>
      <c r="C18" s="61">
        <v>0</v>
      </c>
      <c r="D18" s="61"/>
      <c r="E18" s="61">
        <v>0</v>
      </c>
      <c r="F18" s="61"/>
      <c r="G18" s="61">
        <v>0</v>
      </c>
      <c r="H18" s="61"/>
      <c r="I18" s="61">
        <v>0</v>
      </c>
      <c r="J18" s="61"/>
      <c r="K18" s="61">
        <f>SUM(C18:I18)</f>
        <v>0</v>
      </c>
      <c r="L18" s="61"/>
      <c r="M18" s="61">
        <v>0</v>
      </c>
      <c r="N18" s="61"/>
      <c r="O18" s="61">
        <v>0</v>
      </c>
      <c r="P18" s="61"/>
      <c r="Q18" s="61"/>
      <c r="R18" s="61"/>
      <c r="S18" s="61">
        <v>0</v>
      </c>
      <c r="T18" s="61"/>
      <c r="U18" s="61"/>
      <c r="V18" s="61"/>
      <c r="W18" s="61"/>
      <c r="X18" s="61"/>
      <c r="Y18" s="61">
        <v>1440</v>
      </c>
      <c r="Z18" s="61"/>
      <c r="AA18" s="61">
        <f t="shared" si="0"/>
        <v>1440</v>
      </c>
      <c r="AB18" s="60"/>
      <c r="AC18" s="60"/>
      <c r="AD18" s="60"/>
      <c r="AE18" s="60"/>
      <c r="AF18" s="60"/>
      <c r="AG18" s="60"/>
    </row>
    <row r="19" spans="1:33" ht="12.75">
      <c r="A19" s="60" t="s">
        <v>266</v>
      </c>
      <c r="B19" s="60"/>
      <c r="C19" s="61">
        <v>0</v>
      </c>
      <c r="D19" s="61"/>
      <c r="E19" s="61"/>
      <c r="F19" s="61"/>
      <c r="G19" s="61"/>
      <c r="H19" s="61"/>
      <c r="I19" s="61">
        <v>0</v>
      </c>
      <c r="J19" s="61"/>
      <c r="K19" s="61">
        <f>SUM(C19:I19)</f>
        <v>0</v>
      </c>
      <c r="L19" s="61"/>
      <c r="M19" s="61">
        <v>0</v>
      </c>
      <c r="N19" s="61"/>
      <c r="O19" s="61">
        <v>0</v>
      </c>
      <c r="P19" s="61"/>
      <c r="Q19" s="61"/>
      <c r="R19" s="61"/>
      <c r="S19" s="61">
        <v>0</v>
      </c>
      <c r="T19" s="61"/>
      <c r="U19" s="61"/>
      <c r="V19" s="61"/>
      <c r="W19" s="61"/>
      <c r="X19" s="61"/>
      <c r="Y19" s="61">
        <f>30300-10743</f>
        <v>19557</v>
      </c>
      <c r="Z19" s="61"/>
      <c r="AA19" s="61">
        <f t="shared" si="0"/>
        <v>19557</v>
      </c>
      <c r="AB19" s="60"/>
      <c r="AC19" s="60"/>
      <c r="AD19" s="60"/>
      <c r="AE19" s="60"/>
      <c r="AF19" s="60"/>
      <c r="AG19" s="60"/>
    </row>
    <row r="20" spans="1:33" ht="12.75">
      <c r="A20" s="60" t="s">
        <v>225</v>
      </c>
      <c r="B20" s="60"/>
      <c r="C20" s="61">
        <v>336</v>
      </c>
      <c r="D20" s="61"/>
      <c r="E20" s="61">
        <v>0</v>
      </c>
      <c r="F20" s="61"/>
      <c r="G20" s="61">
        <v>0</v>
      </c>
      <c r="H20" s="61"/>
      <c r="I20" s="61">
        <v>0</v>
      </c>
      <c r="J20" s="61"/>
      <c r="K20" s="61">
        <f>SUM(C20:I20)</f>
        <v>336</v>
      </c>
      <c r="L20" s="61"/>
      <c r="M20" s="61"/>
      <c r="N20" s="61"/>
      <c r="O20" s="61">
        <v>0</v>
      </c>
      <c r="P20" s="61"/>
      <c r="Q20" s="61"/>
      <c r="R20" s="61"/>
      <c r="S20" s="61">
        <v>0</v>
      </c>
      <c r="T20" s="61"/>
      <c r="U20" s="61"/>
      <c r="V20" s="61"/>
      <c r="W20" s="61"/>
      <c r="X20" s="61"/>
      <c r="Y20" s="61"/>
      <c r="Z20" s="61"/>
      <c r="AA20" s="61">
        <f t="shared" si="0"/>
        <v>336</v>
      </c>
      <c r="AB20" s="60"/>
      <c r="AC20" s="60"/>
      <c r="AD20" s="60"/>
      <c r="AE20" s="60"/>
      <c r="AF20" s="60"/>
      <c r="AG20" s="60"/>
    </row>
    <row r="21" spans="1:33" ht="12.75">
      <c r="A21" s="60" t="s">
        <v>202</v>
      </c>
      <c r="B21" s="60"/>
      <c r="C21" s="61">
        <v>0</v>
      </c>
      <c r="D21" s="61"/>
      <c r="E21" s="61">
        <v>0</v>
      </c>
      <c r="F21" s="61"/>
      <c r="G21" s="61">
        <v>0</v>
      </c>
      <c r="H21" s="61"/>
      <c r="I21" s="61">
        <v>0</v>
      </c>
      <c r="J21" s="61"/>
      <c r="K21" s="61">
        <f>SUM(C21:I21)</f>
        <v>0</v>
      </c>
      <c r="L21" s="61"/>
      <c r="M21" s="61">
        <v>0</v>
      </c>
      <c r="N21" s="61"/>
      <c r="O21" s="61">
        <v>0</v>
      </c>
      <c r="P21" s="61"/>
      <c r="Q21" s="61"/>
      <c r="R21" s="61"/>
      <c r="S21" s="61">
        <v>0</v>
      </c>
      <c r="T21" s="61"/>
      <c r="U21" s="61"/>
      <c r="V21" s="61"/>
      <c r="W21" s="61"/>
      <c r="X21" s="61"/>
      <c r="Y21" s="61">
        <v>0</v>
      </c>
      <c r="Z21" s="61"/>
      <c r="AA21" s="61">
        <f t="shared" si="0"/>
        <v>0</v>
      </c>
      <c r="AB21" s="60"/>
      <c r="AC21" s="60"/>
      <c r="AD21" s="60"/>
      <c r="AE21" s="60"/>
      <c r="AF21" s="60"/>
      <c r="AG21" s="60"/>
    </row>
    <row r="22" spans="1:33" ht="12.75">
      <c r="A22" s="60" t="s">
        <v>215</v>
      </c>
      <c r="B22" s="60"/>
      <c r="C22" s="61">
        <v>0</v>
      </c>
      <c r="D22" s="61"/>
      <c r="E22" s="61">
        <v>0</v>
      </c>
      <c r="F22" s="61"/>
      <c r="G22" s="61">
        <v>0</v>
      </c>
      <c r="H22" s="61"/>
      <c r="I22" s="61"/>
      <c r="J22" s="61"/>
      <c r="K22" s="61">
        <f>SUM(C22:I22)</f>
        <v>0</v>
      </c>
      <c r="L22" s="61"/>
      <c r="M22" s="61">
        <v>0</v>
      </c>
      <c r="N22" s="61"/>
      <c r="O22" s="61">
        <v>0</v>
      </c>
      <c r="P22" s="61"/>
      <c r="Q22" s="61"/>
      <c r="R22" s="61"/>
      <c r="S22" s="61">
        <v>19097</v>
      </c>
      <c r="T22" s="61"/>
      <c r="U22" s="61"/>
      <c r="V22" s="61"/>
      <c r="W22" s="61"/>
      <c r="X22" s="61"/>
      <c r="Y22" s="61">
        <v>0</v>
      </c>
      <c r="Z22" s="61"/>
      <c r="AA22" s="61">
        <f t="shared" si="0"/>
        <v>19097</v>
      </c>
      <c r="AB22" s="60"/>
      <c r="AC22" s="60"/>
      <c r="AD22" s="60"/>
      <c r="AE22" s="60"/>
      <c r="AF22" s="60"/>
      <c r="AG22" s="60"/>
    </row>
    <row r="23" spans="1:29" ht="12.75">
      <c r="A23" s="104" t="s">
        <v>6</v>
      </c>
      <c r="B23" s="104"/>
      <c r="C23" s="87">
        <f>SUM(C12:C22)</f>
        <v>151649</v>
      </c>
      <c r="D23" s="87"/>
      <c r="E23" s="87">
        <f>SUM(E12:E22)</f>
        <v>70000</v>
      </c>
      <c r="F23" s="87"/>
      <c r="G23" s="87">
        <f>SUM(G12:G22)</f>
        <v>93313</v>
      </c>
      <c r="H23" s="87"/>
      <c r="I23" s="87">
        <f>SUM(I12:I22)</f>
        <v>22000</v>
      </c>
      <c r="J23" s="87"/>
      <c r="K23" s="169">
        <f>SUM(K12:K22)</f>
        <v>336962</v>
      </c>
      <c r="L23" s="87"/>
      <c r="M23" s="169">
        <f>SUM(M12:M22)</f>
        <v>230755</v>
      </c>
      <c r="N23" s="87"/>
      <c r="O23" s="169">
        <f>SUM(O12:O22)</f>
        <v>129200</v>
      </c>
      <c r="P23" s="87"/>
      <c r="Q23" s="87">
        <f>SUM(Q12:Q22)</f>
        <v>0</v>
      </c>
      <c r="R23" s="87"/>
      <c r="S23" s="169">
        <f>SUM(S12:S22)</f>
        <v>19097</v>
      </c>
      <c r="T23" s="87"/>
      <c r="U23" s="87">
        <f>SUM(U12:U22)</f>
        <v>0</v>
      </c>
      <c r="V23" s="87"/>
      <c r="W23" s="169">
        <v>10500</v>
      </c>
      <c r="X23" s="87"/>
      <c r="Y23" s="87">
        <f>SUM(Y12:Y22)</f>
        <v>23322</v>
      </c>
      <c r="Z23" s="87"/>
      <c r="AA23" s="87">
        <f>SUM(K23:Y23)</f>
        <v>749836</v>
      </c>
      <c r="AC23" s="60"/>
    </row>
    <row r="24" spans="1:29" ht="9" customHeight="1">
      <c r="A24" s="60"/>
      <c r="B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1"/>
      <c r="AC24" s="60"/>
    </row>
    <row r="25" spans="1:29" ht="12.75">
      <c r="A25" s="105" t="s">
        <v>0</v>
      </c>
      <c r="B25" s="105"/>
      <c r="E25" s="60"/>
      <c r="F25" s="60"/>
      <c r="G25" s="60"/>
      <c r="H25" s="60"/>
      <c r="I25" s="61"/>
      <c r="J25" s="61"/>
      <c r="K25" s="61"/>
      <c r="L25" s="61"/>
      <c r="M25" s="60"/>
      <c r="N25" s="60"/>
      <c r="O25" s="61"/>
      <c r="P25" s="60"/>
      <c r="Q25" s="60"/>
      <c r="R25" s="60"/>
      <c r="S25" s="61"/>
      <c r="T25" s="61"/>
      <c r="U25" s="61"/>
      <c r="V25" s="61"/>
      <c r="W25" s="61"/>
      <c r="X25" s="61"/>
      <c r="Y25" s="60"/>
      <c r="Z25" s="60"/>
      <c r="AA25" s="61"/>
      <c r="AB25" s="60"/>
      <c r="AC25" s="60"/>
    </row>
    <row r="26" spans="1:29" ht="12.75">
      <c r="A26" s="60" t="s">
        <v>41</v>
      </c>
      <c r="B26" s="60"/>
      <c r="C26" s="97">
        <v>77126</v>
      </c>
      <c r="D26" s="97"/>
      <c r="E26" s="61">
        <v>60751</v>
      </c>
      <c r="F26" s="97"/>
      <c r="G26" s="97">
        <v>74429</v>
      </c>
      <c r="H26" s="97"/>
      <c r="I26" s="61">
        <v>12825</v>
      </c>
      <c r="J26" s="61"/>
      <c r="K26" s="61">
        <f aca="true" t="shared" si="1" ref="K26:K62">SUM(C26:I26)</f>
        <v>225131</v>
      </c>
      <c r="L26" s="61"/>
      <c r="M26" s="97">
        <v>188253</v>
      </c>
      <c r="N26" s="97"/>
      <c r="O26" s="61">
        <v>100864</v>
      </c>
      <c r="P26" s="97"/>
      <c r="Q26" s="97"/>
      <c r="R26" s="97"/>
      <c r="S26" s="61"/>
      <c r="T26" s="61"/>
      <c r="U26" s="61"/>
      <c r="V26" s="61"/>
      <c r="W26" s="61"/>
      <c r="X26" s="61"/>
      <c r="Y26" s="97">
        <v>0</v>
      </c>
      <c r="Z26" s="60"/>
      <c r="AA26" s="111">
        <f>SUM(K26:Y26)</f>
        <v>514248</v>
      </c>
      <c r="AB26" s="60"/>
      <c r="AC26" s="60"/>
    </row>
    <row r="27" spans="1:29" ht="12.75">
      <c r="A27" s="60" t="s">
        <v>42</v>
      </c>
      <c r="B27" s="60"/>
      <c r="C27" s="97">
        <v>7401</v>
      </c>
      <c r="D27" s="97"/>
      <c r="E27" s="61">
        <v>5054</v>
      </c>
      <c r="F27" s="97"/>
      <c r="G27" s="97">
        <v>5779</v>
      </c>
      <c r="H27" s="97"/>
      <c r="I27" s="61">
        <v>661</v>
      </c>
      <c r="J27" s="61"/>
      <c r="K27" s="61">
        <f t="shared" si="1"/>
        <v>18895</v>
      </c>
      <c r="L27" s="61"/>
      <c r="M27" s="97">
        <v>18239</v>
      </c>
      <c r="N27" s="97"/>
      <c r="O27" s="61">
        <v>9513</v>
      </c>
      <c r="P27" s="97"/>
      <c r="Q27" s="97"/>
      <c r="R27" s="97"/>
      <c r="S27" s="61"/>
      <c r="T27" s="61"/>
      <c r="U27" s="61"/>
      <c r="V27" s="61"/>
      <c r="W27" s="61"/>
      <c r="X27" s="61"/>
      <c r="Y27" s="97">
        <v>0</v>
      </c>
      <c r="Z27" s="60"/>
      <c r="AA27" s="111">
        <f aca="true" t="shared" si="2" ref="AA27:AA62">SUM(K27:Y27)</f>
        <v>46647</v>
      </c>
      <c r="AB27" s="60"/>
      <c r="AC27" s="60"/>
    </row>
    <row r="28" spans="1:29" ht="12.75" hidden="1">
      <c r="A28" s="60" t="s">
        <v>173</v>
      </c>
      <c r="B28" s="60"/>
      <c r="C28" s="97">
        <v>0</v>
      </c>
      <c r="D28" s="97"/>
      <c r="E28" s="61">
        <v>0</v>
      </c>
      <c r="F28" s="97"/>
      <c r="G28" s="97">
        <v>0</v>
      </c>
      <c r="H28" s="97"/>
      <c r="I28" s="61">
        <v>0</v>
      </c>
      <c r="J28" s="61"/>
      <c r="K28" s="61">
        <f t="shared" si="1"/>
        <v>0</v>
      </c>
      <c r="L28" s="61"/>
      <c r="M28" s="97">
        <v>0</v>
      </c>
      <c r="N28" s="97"/>
      <c r="O28" s="61"/>
      <c r="P28" s="97"/>
      <c r="Q28" s="97"/>
      <c r="R28" s="97"/>
      <c r="S28" s="61"/>
      <c r="T28" s="61"/>
      <c r="U28" s="61"/>
      <c r="V28" s="61"/>
      <c r="W28" s="61"/>
      <c r="X28" s="61"/>
      <c r="Y28" s="97"/>
      <c r="Z28" s="60"/>
      <c r="AA28" s="111">
        <f t="shared" si="2"/>
        <v>0</v>
      </c>
      <c r="AB28" s="60"/>
      <c r="AC28" s="60"/>
    </row>
    <row r="29" spans="1:29" ht="12.75">
      <c r="A29" s="60" t="s">
        <v>78</v>
      </c>
      <c r="B29" s="60"/>
      <c r="C29" s="61">
        <v>0</v>
      </c>
      <c r="D29" s="61"/>
      <c r="E29" s="61">
        <v>0</v>
      </c>
      <c r="F29" s="97"/>
      <c r="G29" s="97">
        <v>852</v>
      </c>
      <c r="H29" s="97"/>
      <c r="I29" s="61">
        <v>0</v>
      </c>
      <c r="J29" s="61"/>
      <c r="K29" s="61">
        <f t="shared" si="1"/>
        <v>852</v>
      </c>
      <c r="L29" s="61"/>
      <c r="M29" s="97">
        <v>2651</v>
      </c>
      <c r="N29" s="97"/>
      <c r="O29" s="61">
        <v>706</v>
      </c>
      <c r="P29" s="97"/>
      <c r="Q29" s="97">
        <v>0</v>
      </c>
      <c r="R29" s="97"/>
      <c r="S29" s="61"/>
      <c r="T29" s="61"/>
      <c r="U29" s="61"/>
      <c r="V29" s="61"/>
      <c r="W29" s="61"/>
      <c r="X29" s="61"/>
      <c r="Y29" s="97">
        <v>680</v>
      </c>
      <c r="Z29" s="60"/>
      <c r="AA29" s="111">
        <f t="shared" si="2"/>
        <v>4889</v>
      </c>
      <c r="AB29" s="60"/>
      <c r="AC29" s="60"/>
    </row>
    <row r="30" spans="1:29" ht="12.75">
      <c r="A30" s="60" t="s">
        <v>43</v>
      </c>
      <c r="B30" s="60"/>
      <c r="C30" s="97">
        <v>0</v>
      </c>
      <c r="D30" s="97"/>
      <c r="E30" s="61">
        <v>0</v>
      </c>
      <c r="F30" s="97"/>
      <c r="G30" s="61" t="s">
        <v>240</v>
      </c>
      <c r="H30" s="61"/>
      <c r="I30" s="61">
        <v>0</v>
      </c>
      <c r="J30" s="61"/>
      <c r="K30" s="61">
        <f t="shared" si="1"/>
        <v>0</v>
      </c>
      <c r="L30" s="61"/>
      <c r="M30" s="97">
        <v>0</v>
      </c>
      <c r="N30" s="97"/>
      <c r="O30" s="61">
        <v>0</v>
      </c>
      <c r="P30" s="97"/>
      <c r="Q30" s="97">
        <v>0</v>
      </c>
      <c r="R30" s="97"/>
      <c r="S30" s="61"/>
      <c r="T30" s="61"/>
      <c r="U30" s="61"/>
      <c r="V30" s="61"/>
      <c r="W30" s="61"/>
      <c r="X30" s="61"/>
      <c r="Y30" s="97">
        <v>0</v>
      </c>
      <c r="Z30" s="60"/>
      <c r="AA30" s="111">
        <f t="shared" si="2"/>
        <v>0</v>
      </c>
      <c r="AB30" s="60"/>
      <c r="AC30" s="60"/>
    </row>
    <row r="31" spans="1:29" ht="12.75">
      <c r="A31" s="60" t="s">
        <v>44</v>
      </c>
      <c r="B31" s="60"/>
      <c r="C31" s="97">
        <v>-760</v>
      </c>
      <c r="D31" s="97"/>
      <c r="E31" s="61">
        <v>0</v>
      </c>
      <c r="F31" s="97"/>
      <c r="G31" s="97">
        <v>120</v>
      </c>
      <c r="H31" s="97"/>
      <c r="I31" s="61">
        <v>0</v>
      </c>
      <c r="J31" s="61"/>
      <c r="K31" s="61">
        <f t="shared" si="1"/>
        <v>-640</v>
      </c>
      <c r="L31" s="61"/>
      <c r="M31" s="97">
        <v>2055</v>
      </c>
      <c r="N31" s="97"/>
      <c r="O31" s="61">
        <v>378</v>
      </c>
      <c r="P31" s="97"/>
      <c r="Q31" s="97"/>
      <c r="R31" s="97"/>
      <c r="S31" s="61"/>
      <c r="T31" s="61"/>
      <c r="U31" s="61"/>
      <c r="V31" s="61"/>
      <c r="W31" s="61"/>
      <c r="X31" s="61"/>
      <c r="Y31" s="97">
        <v>0</v>
      </c>
      <c r="Z31" s="60"/>
      <c r="AA31" s="111">
        <f t="shared" si="2"/>
        <v>1793</v>
      </c>
      <c r="AB31" s="60"/>
      <c r="AC31" s="60"/>
    </row>
    <row r="32" spans="1:29" ht="12.75">
      <c r="A32" s="60" t="s">
        <v>79</v>
      </c>
      <c r="B32" s="60"/>
      <c r="C32" s="97">
        <v>0</v>
      </c>
      <c r="D32" s="97"/>
      <c r="E32" s="61">
        <v>495</v>
      </c>
      <c r="F32" s="97"/>
      <c r="G32" s="61">
        <v>1795</v>
      </c>
      <c r="H32" s="61"/>
      <c r="I32" s="61">
        <v>60</v>
      </c>
      <c r="J32" s="61"/>
      <c r="K32" s="61">
        <f t="shared" si="1"/>
        <v>2350</v>
      </c>
      <c r="L32" s="61"/>
      <c r="M32" s="97">
        <v>0</v>
      </c>
      <c r="N32" s="97"/>
      <c r="O32" s="61">
        <v>420</v>
      </c>
      <c r="P32" s="97"/>
      <c r="Q32" s="97">
        <v>0</v>
      </c>
      <c r="R32" s="97"/>
      <c r="S32" s="61"/>
      <c r="T32" s="61"/>
      <c r="U32" s="61"/>
      <c r="V32" s="61"/>
      <c r="W32" s="61"/>
      <c r="X32" s="61"/>
      <c r="Y32" s="97">
        <v>0</v>
      </c>
      <c r="Z32" s="60"/>
      <c r="AA32" s="111">
        <f t="shared" si="2"/>
        <v>2770</v>
      </c>
      <c r="AB32" s="60"/>
      <c r="AC32" s="60"/>
    </row>
    <row r="33" spans="1:29" ht="12.75">
      <c r="A33" s="60" t="s">
        <v>80</v>
      </c>
      <c r="B33" s="60"/>
      <c r="C33" s="97">
        <v>0</v>
      </c>
      <c r="D33" s="97"/>
      <c r="E33" s="61">
        <v>0</v>
      </c>
      <c r="F33" s="97"/>
      <c r="G33" s="97">
        <v>0</v>
      </c>
      <c r="H33" s="97"/>
      <c r="I33" s="61">
        <v>0</v>
      </c>
      <c r="J33" s="61"/>
      <c r="K33" s="61">
        <f t="shared" si="1"/>
        <v>0</v>
      </c>
      <c r="L33" s="61"/>
      <c r="M33" s="97">
        <v>0</v>
      </c>
      <c r="N33" s="97"/>
      <c r="O33" s="61">
        <v>0</v>
      </c>
      <c r="P33" s="97"/>
      <c r="Q33" s="97">
        <v>0</v>
      </c>
      <c r="R33" s="97"/>
      <c r="S33" s="61"/>
      <c r="T33" s="61"/>
      <c r="U33" s="61"/>
      <c r="V33" s="61"/>
      <c r="W33" s="61"/>
      <c r="X33" s="61"/>
      <c r="Y33" s="97">
        <v>0</v>
      </c>
      <c r="Z33" s="60"/>
      <c r="AA33" s="111">
        <f t="shared" si="2"/>
        <v>0</v>
      </c>
      <c r="AB33" s="60"/>
      <c r="AC33" s="60"/>
    </row>
    <row r="34" spans="1:29" ht="12.75">
      <c r="A34" s="60" t="s">
        <v>162</v>
      </c>
      <c r="B34" s="60"/>
      <c r="C34" s="97">
        <v>3375</v>
      </c>
      <c r="D34" s="97"/>
      <c r="E34" s="61">
        <v>0</v>
      </c>
      <c r="F34" s="97"/>
      <c r="G34" s="61">
        <v>0</v>
      </c>
      <c r="H34" s="61"/>
      <c r="I34" s="61">
        <v>0</v>
      </c>
      <c r="J34" s="61"/>
      <c r="K34" s="61">
        <f t="shared" si="1"/>
        <v>3375</v>
      </c>
      <c r="L34" s="61"/>
      <c r="M34" s="97">
        <v>0</v>
      </c>
      <c r="N34" s="97"/>
      <c r="O34" s="61">
        <v>0</v>
      </c>
      <c r="P34" s="97"/>
      <c r="Q34" s="97">
        <v>0</v>
      </c>
      <c r="R34" s="97"/>
      <c r="S34" s="61"/>
      <c r="T34" s="61"/>
      <c r="U34" s="61"/>
      <c r="V34" s="61"/>
      <c r="W34" s="61"/>
      <c r="X34" s="61"/>
      <c r="Y34" s="97">
        <v>0</v>
      </c>
      <c r="Z34" s="60"/>
      <c r="AA34" s="111">
        <f t="shared" si="2"/>
        <v>3375</v>
      </c>
      <c r="AB34" s="60"/>
      <c r="AC34" s="60"/>
    </row>
    <row r="35" spans="1:29" ht="12.75">
      <c r="A35" s="60" t="s">
        <v>82</v>
      </c>
      <c r="B35" s="60"/>
      <c r="C35" s="97">
        <v>222</v>
      </c>
      <c r="D35" s="97"/>
      <c r="E35" s="61">
        <v>0</v>
      </c>
      <c r="F35" s="97"/>
      <c r="G35" s="97">
        <v>0</v>
      </c>
      <c r="H35" s="97"/>
      <c r="I35" s="61">
        <v>0</v>
      </c>
      <c r="J35" s="61"/>
      <c r="K35" s="61">
        <f t="shared" si="1"/>
        <v>222</v>
      </c>
      <c r="L35" s="61"/>
      <c r="M35" s="97">
        <v>0</v>
      </c>
      <c r="N35" s="97"/>
      <c r="O35" s="61">
        <v>0</v>
      </c>
      <c r="P35" s="97"/>
      <c r="Q35" s="97">
        <v>0</v>
      </c>
      <c r="R35" s="97"/>
      <c r="S35" s="61"/>
      <c r="T35" s="61"/>
      <c r="U35" s="61"/>
      <c r="V35" s="61"/>
      <c r="W35" s="61"/>
      <c r="X35" s="61"/>
      <c r="Y35" s="97">
        <v>0</v>
      </c>
      <c r="Z35" s="60"/>
      <c r="AA35" s="111">
        <f t="shared" si="2"/>
        <v>222</v>
      </c>
      <c r="AB35" s="60"/>
      <c r="AC35" s="60"/>
    </row>
    <row r="36" spans="1:29" ht="12.75">
      <c r="A36" s="137" t="s">
        <v>203</v>
      </c>
      <c r="B36" s="60" t="s">
        <v>159</v>
      </c>
      <c r="C36" s="97">
        <v>8265</v>
      </c>
      <c r="D36" s="97"/>
      <c r="E36" s="61">
        <v>15498</v>
      </c>
      <c r="F36" s="97"/>
      <c r="G36" s="97">
        <v>334</v>
      </c>
      <c r="H36" s="97"/>
      <c r="I36" s="97">
        <v>4150</v>
      </c>
      <c r="J36" s="97"/>
      <c r="K36" s="61">
        <f t="shared" si="1"/>
        <v>28247</v>
      </c>
      <c r="L36" s="97"/>
      <c r="M36" s="97">
        <v>7800</v>
      </c>
      <c r="N36" s="97"/>
      <c r="O36" s="97">
        <v>0</v>
      </c>
      <c r="P36" s="97"/>
      <c r="Q36" s="97"/>
      <c r="R36" s="97"/>
      <c r="S36" s="97">
        <v>8305</v>
      </c>
      <c r="T36" s="97"/>
      <c r="U36" s="97">
        <v>1750</v>
      </c>
      <c r="V36" s="97"/>
      <c r="W36" s="97"/>
      <c r="X36" s="97"/>
      <c r="Y36" s="97"/>
      <c r="Z36" s="60"/>
      <c r="AA36" s="111">
        <f t="shared" si="2"/>
        <v>46102</v>
      </c>
      <c r="AB36" s="60"/>
      <c r="AC36" s="60"/>
    </row>
    <row r="37" spans="1:29" ht="12.75">
      <c r="A37" s="60" t="s">
        <v>194</v>
      </c>
      <c r="B37" s="60"/>
      <c r="C37" s="97">
        <v>1313</v>
      </c>
      <c r="D37" s="97"/>
      <c r="E37" s="61">
        <v>564</v>
      </c>
      <c r="F37" s="97"/>
      <c r="G37" s="97">
        <v>2889</v>
      </c>
      <c r="H37" s="97"/>
      <c r="I37" s="97">
        <v>0</v>
      </c>
      <c r="J37" s="97"/>
      <c r="K37" s="61">
        <f t="shared" si="1"/>
        <v>4766</v>
      </c>
      <c r="L37" s="97"/>
      <c r="M37" s="97">
        <v>229</v>
      </c>
      <c r="N37" s="97"/>
      <c r="O37" s="97">
        <v>82</v>
      </c>
      <c r="P37" s="97"/>
      <c r="Q37" s="97"/>
      <c r="R37" s="97"/>
      <c r="S37" s="97">
        <v>1217.22</v>
      </c>
      <c r="T37" s="97"/>
      <c r="U37" s="97">
        <v>2765</v>
      </c>
      <c r="V37" s="97"/>
      <c r="W37" s="97"/>
      <c r="X37" s="97"/>
      <c r="Y37" s="97"/>
      <c r="Z37" s="60"/>
      <c r="AA37" s="111">
        <f t="shared" si="2"/>
        <v>9059.220000000001</v>
      </c>
      <c r="AB37" s="60"/>
      <c r="AC37" s="60"/>
    </row>
    <row r="38" spans="1:29" ht="12.75">
      <c r="A38" s="60" t="s">
        <v>264</v>
      </c>
      <c r="B38" s="60"/>
      <c r="C38" s="61">
        <v>0</v>
      </c>
      <c r="D38" s="61"/>
      <c r="E38" s="61">
        <v>0</v>
      </c>
      <c r="F38" s="61"/>
      <c r="G38" s="97">
        <v>1109</v>
      </c>
      <c r="H38" s="97"/>
      <c r="I38" s="61">
        <v>0</v>
      </c>
      <c r="J38" s="61"/>
      <c r="K38" s="61">
        <f t="shared" si="1"/>
        <v>1109</v>
      </c>
      <c r="L38" s="61"/>
      <c r="M38" s="61">
        <v>100</v>
      </c>
      <c r="N38" s="61"/>
      <c r="O38" s="61">
        <v>0</v>
      </c>
      <c r="P38" s="61"/>
      <c r="Q38" s="61"/>
      <c r="R38" s="61"/>
      <c r="S38" s="61"/>
      <c r="T38" s="61"/>
      <c r="U38" s="61"/>
      <c r="V38" s="61"/>
      <c r="W38" s="61"/>
      <c r="X38" s="61"/>
      <c r="Y38" s="97">
        <v>0</v>
      </c>
      <c r="Z38" s="60"/>
      <c r="AA38" s="111">
        <f t="shared" si="2"/>
        <v>1209</v>
      </c>
      <c r="AB38" s="60"/>
      <c r="AC38" s="60"/>
    </row>
    <row r="39" spans="1:29" ht="12.75">
      <c r="A39" s="60" t="s">
        <v>75</v>
      </c>
      <c r="B39" s="60"/>
      <c r="C39" s="61">
        <v>0</v>
      </c>
      <c r="D39" s="61"/>
      <c r="E39" s="61">
        <v>0</v>
      </c>
      <c r="F39" s="61"/>
      <c r="G39" s="97">
        <v>0</v>
      </c>
      <c r="H39" s="97"/>
      <c r="I39" s="61">
        <v>0</v>
      </c>
      <c r="J39" s="61"/>
      <c r="K39" s="61">
        <f t="shared" si="1"/>
        <v>0</v>
      </c>
      <c r="L39" s="61"/>
      <c r="M39" s="61">
        <v>0</v>
      </c>
      <c r="N39" s="61"/>
      <c r="O39" s="61">
        <v>0</v>
      </c>
      <c r="P39" s="61"/>
      <c r="Q39" s="61"/>
      <c r="R39" s="61"/>
      <c r="S39" s="61"/>
      <c r="T39" s="61"/>
      <c r="U39" s="61"/>
      <c r="V39" s="61"/>
      <c r="W39" s="61"/>
      <c r="X39" s="61"/>
      <c r="Y39" s="97">
        <v>0</v>
      </c>
      <c r="Z39" s="60"/>
      <c r="AA39" s="111">
        <f t="shared" si="2"/>
        <v>0</v>
      </c>
      <c r="AB39" s="60"/>
      <c r="AC39" s="60"/>
    </row>
    <row r="40" spans="1:29" ht="12.75">
      <c r="A40" s="60" t="s">
        <v>251</v>
      </c>
      <c r="B40" s="60"/>
      <c r="C40" s="61">
        <v>183</v>
      </c>
      <c r="D40" s="61"/>
      <c r="E40" s="61">
        <v>0</v>
      </c>
      <c r="F40" s="61"/>
      <c r="G40" s="97">
        <v>269</v>
      </c>
      <c r="H40" s="97"/>
      <c r="I40" s="61">
        <v>0</v>
      </c>
      <c r="J40" s="61"/>
      <c r="K40" s="61">
        <f t="shared" si="1"/>
        <v>452</v>
      </c>
      <c r="L40" s="61"/>
      <c r="M40" s="61">
        <v>183</v>
      </c>
      <c r="N40" s="61"/>
      <c r="O40" s="61">
        <v>883</v>
      </c>
      <c r="P40" s="61"/>
      <c r="Q40" s="61"/>
      <c r="R40" s="61"/>
      <c r="S40" s="61">
        <v>0</v>
      </c>
      <c r="T40" s="61"/>
      <c r="U40" s="61"/>
      <c r="V40" s="61"/>
      <c r="W40" s="61">
        <v>7500</v>
      </c>
      <c r="X40" s="61"/>
      <c r="Y40" s="97"/>
      <c r="Z40" s="60"/>
      <c r="AA40" s="111">
        <f t="shared" si="2"/>
        <v>9018</v>
      </c>
      <c r="AB40" s="60"/>
      <c r="AC40" s="60"/>
    </row>
    <row r="41" spans="1:29" ht="12.75">
      <c r="A41" s="60" t="s">
        <v>218</v>
      </c>
      <c r="B41" s="60"/>
      <c r="C41" s="61">
        <v>2396</v>
      </c>
      <c r="D41" s="61"/>
      <c r="E41" s="61">
        <v>0</v>
      </c>
      <c r="F41" s="61"/>
      <c r="G41" s="97">
        <v>80</v>
      </c>
      <c r="H41" s="97"/>
      <c r="I41" s="61">
        <v>400</v>
      </c>
      <c r="J41" s="61"/>
      <c r="K41" s="61">
        <f t="shared" si="1"/>
        <v>2876</v>
      </c>
      <c r="L41" s="61"/>
      <c r="M41" s="61">
        <v>2416</v>
      </c>
      <c r="N41" s="61"/>
      <c r="O41" s="61">
        <v>133</v>
      </c>
      <c r="P41" s="61"/>
      <c r="Q41" s="61"/>
      <c r="R41" s="61"/>
      <c r="S41" s="61">
        <v>342</v>
      </c>
      <c r="T41" s="61"/>
      <c r="U41" s="61"/>
      <c r="V41" s="61"/>
      <c r="W41" s="61"/>
      <c r="X41" s="61"/>
      <c r="Y41" s="97">
        <v>2521</v>
      </c>
      <c r="Z41" s="60"/>
      <c r="AA41" s="111">
        <f t="shared" si="2"/>
        <v>8288</v>
      </c>
      <c r="AB41" s="60"/>
      <c r="AC41" s="60"/>
    </row>
    <row r="42" spans="1:29" ht="12.75">
      <c r="A42" s="60" t="s">
        <v>46</v>
      </c>
      <c r="B42" s="60"/>
      <c r="C42" s="97">
        <v>661</v>
      </c>
      <c r="D42" s="97"/>
      <c r="E42" s="61">
        <v>1000</v>
      </c>
      <c r="F42" s="97"/>
      <c r="G42" s="97">
        <v>5029</v>
      </c>
      <c r="H42" s="97"/>
      <c r="I42" s="61">
        <v>0</v>
      </c>
      <c r="J42" s="61"/>
      <c r="K42" s="61">
        <f t="shared" si="1"/>
        <v>6690</v>
      </c>
      <c r="L42" s="61"/>
      <c r="M42" s="97">
        <v>1522</v>
      </c>
      <c r="N42" s="97"/>
      <c r="O42" s="61">
        <v>0</v>
      </c>
      <c r="P42" s="97"/>
      <c r="Q42" s="97"/>
      <c r="R42" s="97"/>
      <c r="S42" s="61">
        <v>0</v>
      </c>
      <c r="T42" s="61"/>
      <c r="U42" s="61"/>
      <c r="V42" s="61"/>
      <c r="W42" s="61"/>
      <c r="X42" s="61"/>
      <c r="Y42" s="97"/>
      <c r="Z42" s="60"/>
      <c r="AA42" s="111">
        <f t="shared" si="2"/>
        <v>8212</v>
      </c>
      <c r="AB42" s="60"/>
      <c r="AC42" s="60"/>
    </row>
    <row r="43" spans="1:29" ht="12.75">
      <c r="A43" s="60" t="s">
        <v>83</v>
      </c>
      <c r="B43" s="60"/>
      <c r="C43" s="97">
        <v>4506</v>
      </c>
      <c r="D43" s="97"/>
      <c r="E43" s="61">
        <v>2287</v>
      </c>
      <c r="F43" s="97"/>
      <c r="G43" s="97">
        <v>2280</v>
      </c>
      <c r="H43" s="97"/>
      <c r="I43" s="61">
        <v>264</v>
      </c>
      <c r="J43" s="61"/>
      <c r="K43" s="61">
        <f t="shared" si="1"/>
        <v>9337</v>
      </c>
      <c r="L43" s="61"/>
      <c r="M43" s="97">
        <v>3003</v>
      </c>
      <c r="N43" s="97"/>
      <c r="O43" s="61">
        <v>3010</v>
      </c>
      <c r="P43" s="97"/>
      <c r="Q43" s="97"/>
      <c r="R43" s="97"/>
      <c r="S43" s="61"/>
      <c r="T43" s="61"/>
      <c r="U43" s="61"/>
      <c r="V43" s="61"/>
      <c r="W43" s="61"/>
      <c r="X43" s="61"/>
      <c r="Y43" s="97">
        <v>437</v>
      </c>
      <c r="Z43" s="60"/>
      <c r="AA43" s="111">
        <f t="shared" si="2"/>
        <v>15787</v>
      </c>
      <c r="AB43" s="60"/>
      <c r="AC43" s="60"/>
    </row>
    <row r="44" spans="1:29" ht="12.75">
      <c r="A44" s="60" t="s">
        <v>250</v>
      </c>
      <c r="B44" s="60"/>
      <c r="C44" s="97">
        <v>1291</v>
      </c>
      <c r="D44" s="97"/>
      <c r="E44" s="61">
        <v>0</v>
      </c>
      <c r="F44" s="97"/>
      <c r="G44" s="97">
        <v>0</v>
      </c>
      <c r="H44" s="97"/>
      <c r="I44" s="61">
        <v>0</v>
      </c>
      <c r="J44" s="61"/>
      <c r="K44" s="61">
        <f t="shared" si="1"/>
        <v>1291</v>
      </c>
      <c r="L44" s="61"/>
      <c r="M44" s="97">
        <v>462</v>
      </c>
      <c r="N44" s="97"/>
      <c r="O44" s="61">
        <v>462</v>
      </c>
      <c r="P44" s="97"/>
      <c r="Q44" s="97"/>
      <c r="R44" s="97"/>
      <c r="S44" s="61"/>
      <c r="T44" s="61"/>
      <c r="U44" s="61"/>
      <c r="V44" s="61"/>
      <c r="W44" s="61"/>
      <c r="X44" s="61"/>
      <c r="Y44" s="97"/>
      <c r="Z44" s="60"/>
      <c r="AA44" s="111">
        <f t="shared" si="2"/>
        <v>2215</v>
      </c>
      <c r="AB44" s="60"/>
      <c r="AC44" s="60"/>
    </row>
    <row r="45" spans="1:27" s="60" customFormat="1" ht="12.75">
      <c r="A45" s="60" t="s">
        <v>195</v>
      </c>
      <c r="C45" s="97">
        <v>521</v>
      </c>
      <c r="D45" s="97"/>
      <c r="E45" s="61">
        <v>159</v>
      </c>
      <c r="F45" s="97"/>
      <c r="G45" s="97">
        <v>356</v>
      </c>
      <c r="H45" s="97"/>
      <c r="I45" s="97">
        <v>99</v>
      </c>
      <c r="J45" s="97"/>
      <c r="K45" s="61">
        <f t="shared" si="1"/>
        <v>1135</v>
      </c>
      <c r="L45" s="97"/>
      <c r="M45" s="97">
        <v>888</v>
      </c>
      <c r="N45" s="97"/>
      <c r="O45" s="97">
        <v>0</v>
      </c>
      <c r="P45" s="97"/>
      <c r="Q45" s="97"/>
      <c r="R45" s="97"/>
      <c r="S45" s="97">
        <v>0</v>
      </c>
      <c r="T45" s="97"/>
      <c r="U45" s="97"/>
      <c r="V45" s="97"/>
      <c r="W45" s="97"/>
      <c r="X45" s="97"/>
      <c r="Y45" s="97">
        <v>0</v>
      </c>
      <c r="AA45" s="111">
        <f t="shared" si="2"/>
        <v>2023</v>
      </c>
    </row>
    <row r="46" spans="1:27" s="60" customFormat="1" ht="12.75">
      <c r="A46" s="60" t="s">
        <v>84</v>
      </c>
      <c r="C46" s="97">
        <v>3336</v>
      </c>
      <c r="D46" s="97"/>
      <c r="E46" s="61">
        <v>1272</v>
      </c>
      <c r="F46" s="97"/>
      <c r="G46" s="97">
        <v>1318</v>
      </c>
      <c r="H46" s="97"/>
      <c r="I46" s="97">
        <v>281</v>
      </c>
      <c r="J46" s="97"/>
      <c r="K46" s="61">
        <f t="shared" si="1"/>
        <v>6207</v>
      </c>
      <c r="L46" s="97"/>
      <c r="M46" s="97">
        <v>817</v>
      </c>
      <c r="N46" s="97"/>
      <c r="O46" s="97">
        <v>1087</v>
      </c>
      <c r="P46" s="97"/>
      <c r="Q46" s="97"/>
      <c r="R46" s="97"/>
      <c r="S46" s="97">
        <v>1133</v>
      </c>
      <c r="T46" s="97"/>
      <c r="U46" s="97"/>
      <c r="V46" s="97"/>
      <c r="W46" s="97"/>
      <c r="X46" s="97"/>
      <c r="Y46" s="97">
        <v>0</v>
      </c>
      <c r="AA46" s="111">
        <f t="shared" si="2"/>
        <v>9244</v>
      </c>
    </row>
    <row r="47" spans="1:27" s="60" customFormat="1" ht="12.75">
      <c r="A47" s="60" t="s">
        <v>48</v>
      </c>
      <c r="C47" s="97">
        <v>398</v>
      </c>
      <c r="D47" s="97"/>
      <c r="E47" s="61">
        <v>0</v>
      </c>
      <c r="F47" s="97"/>
      <c r="G47" s="97">
        <v>158</v>
      </c>
      <c r="H47" s="97"/>
      <c r="I47" s="97"/>
      <c r="J47" s="97"/>
      <c r="K47" s="61">
        <f t="shared" si="1"/>
        <v>556</v>
      </c>
      <c r="L47" s="97"/>
      <c r="M47" s="97">
        <v>151</v>
      </c>
      <c r="N47" s="97"/>
      <c r="O47" s="97">
        <v>0</v>
      </c>
      <c r="P47" s="97"/>
      <c r="Q47" s="97"/>
      <c r="R47" s="97"/>
      <c r="S47" s="97">
        <v>203</v>
      </c>
      <c r="T47" s="97"/>
      <c r="U47" s="97"/>
      <c r="V47" s="97"/>
      <c r="W47" s="97"/>
      <c r="X47" s="97"/>
      <c r="Y47" s="97">
        <v>0</v>
      </c>
      <c r="AA47" s="111">
        <f t="shared" si="2"/>
        <v>910</v>
      </c>
    </row>
    <row r="48" spans="1:27" s="60" customFormat="1" ht="12.75">
      <c r="A48" s="60" t="s">
        <v>28</v>
      </c>
      <c r="C48" s="97">
        <v>2131</v>
      </c>
      <c r="D48" s="97"/>
      <c r="E48" s="61">
        <v>1982</v>
      </c>
      <c r="F48" s="97"/>
      <c r="G48" s="61">
        <v>1982</v>
      </c>
      <c r="H48" s="61"/>
      <c r="I48" s="61">
        <v>1982</v>
      </c>
      <c r="J48" s="61"/>
      <c r="K48" s="61">
        <f t="shared" si="1"/>
        <v>8077</v>
      </c>
      <c r="L48" s="61"/>
      <c r="M48" s="97">
        <v>2003</v>
      </c>
      <c r="N48" s="97"/>
      <c r="O48" s="61">
        <v>4269</v>
      </c>
      <c r="P48" s="97"/>
      <c r="Q48" s="97"/>
      <c r="R48" s="97"/>
      <c r="S48" s="61">
        <v>457</v>
      </c>
      <c r="T48" s="61"/>
      <c r="U48" s="61">
        <v>130</v>
      </c>
      <c r="V48" s="61"/>
      <c r="W48" s="61"/>
      <c r="X48" s="61"/>
      <c r="Y48" s="61">
        <v>223</v>
      </c>
      <c r="AA48" s="111">
        <f t="shared" si="2"/>
        <v>15159</v>
      </c>
    </row>
    <row r="49" spans="1:27" s="60" customFormat="1" ht="12.75">
      <c r="A49" s="60" t="s">
        <v>226</v>
      </c>
      <c r="C49" s="97">
        <v>1092</v>
      </c>
      <c r="D49" s="97"/>
      <c r="E49" s="61">
        <v>913</v>
      </c>
      <c r="F49" s="97"/>
      <c r="G49" s="61">
        <v>850</v>
      </c>
      <c r="H49" s="61"/>
      <c r="I49" s="61">
        <v>0</v>
      </c>
      <c r="J49" s="61"/>
      <c r="K49" s="61">
        <f t="shared" si="1"/>
        <v>2855</v>
      </c>
      <c r="L49" s="61"/>
      <c r="M49" s="97"/>
      <c r="N49" s="97"/>
      <c r="O49" s="61">
        <v>0</v>
      </c>
      <c r="P49" s="97"/>
      <c r="Q49" s="97"/>
      <c r="R49" s="97"/>
      <c r="S49" s="61"/>
      <c r="T49" s="61"/>
      <c r="U49" s="61"/>
      <c r="V49" s="61"/>
      <c r="W49" s="61"/>
      <c r="X49" s="61"/>
      <c r="Y49" s="97"/>
      <c r="AA49" s="111">
        <f t="shared" si="2"/>
        <v>2855</v>
      </c>
    </row>
    <row r="50" spans="1:29" ht="12.75">
      <c r="A50" s="60" t="s">
        <v>211</v>
      </c>
      <c r="B50" s="60"/>
      <c r="C50" s="97">
        <v>127</v>
      </c>
      <c r="D50" s="97"/>
      <c r="E50" s="61">
        <v>169</v>
      </c>
      <c r="F50" s="97"/>
      <c r="G50" s="97">
        <v>851</v>
      </c>
      <c r="H50" s="97"/>
      <c r="I50" s="97">
        <v>0</v>
      </c>
      <c r="J50" s="97"/>
      <c r="K50" s="61">
        <f t="shared" si="1"/>
        <v>1147</v>
      </c>
      <c r="L50" s="97"/>
      <c r="M50" s="97">
        <v>282</v>
      </c>
      <c r="N50" s="97"/>
      <c r="O50" s="97"/>
      <c r="P50" s="97"/>
      <c r="Q50" s="97"/>
      <c r="R50" s="97"/>
      <c r="S50" s="97"/>
      <c r="T50" s="97"/>
      <c r="U50" s="97">
        <v>20</v>
      </c>
      <c r="V50" s="97"/>
      <c r="W50" s="97"/>
      <c r="X50" s="97"/>
      <c r="Y50" s="97"/>
      <c r="Z50" s="60"/>
      <c r="AA50" s="111">
        <f>SUM(K50:Y50)</f>
        <v>1449</v>
      </c>
      <c r="AB50" s="60"/>
      <c r="AC50" s="60"/>
    </row>
    <row r="51" spans="1:29" ht="12.75">
      <c r="A51" s="60" t="s">
        <v>236</v>
      </c>
      <c r="B51" s="60"/>
      <c r="C51" s="97">
        <v>0</v>
      </c>
      <c r="D51" s="97"/>
      <c r="E51" s="61">
        <v>237</v>
      </c>
      <c r="F51" s="97"/>
      <c r="G51" s="97">
        <v>0</v>
      </c>
      <c r="H51" s="97"/>
      <c r="I51" s="97">
        <v>0</v>
      </c>
      <c r="J51" s="97"/>
      <c r="K51" s="61">
        <f t="shared" si="1"/>
        <v>237</v>
      </c>
      <c r="L51" s="97"/>
      <c r="M51" s="97"/>
      <c r="N51" s="97"/>
      <c r="O51" s="97">
        <v>0</v>
      </c>
      <c r="P51" s="97"/>
      <c r="Q51" s="97"/>
      <c r="R51" s="97"/>
      <c r="S51" s="97"/>
      <c r="T51" s="97"/>
      <c r="U51" s="97"/>
      <c r="V51" s="97"/>
      <c r="W51" s="97"/>
      <c r="X51" s="97"/>
      <c r="Y51" s="97">
        <v>0</v>
      </c>
      <c r="Z51" s="60"/>
      <c r="AA51" s="111">
        <f t="shared" si="2"/>
        <v>237</v>
      </c>
      <c r="AB51" s="60"/>
      <c r="AC51" s="60"/>
    </row>
    <row r="52" spans="1:29" ht="12.75">
      <c r="A52" s="60" t="s">
        <v>205</v>
      </c>
      <c r="B52" s="60"/>
      <c r="C52" s="97">
        <v>0</v>
      </c>
      <c r="D52" s="97"/>
      <c r="E52" s="61">
        <v>0</v>
      </c>
      <c r="F52" s="97"/>
      <c r="G52" s="97">
        <v>0</v>
      </c>
      <c r="H52" s="97"/>
      <c r="I52" s="97">
        <v>0</v>
      </c>
      <c r="J52" s="97"/>
      <c r="K52" s="61">
        <f t="shared" si="1"/>
        <v>0</v>
      </c>
      <c r="L52" s="97"/>
      <c r="M52" s="97"/>
      <c r="N52" s="97"/>
      <c r="O52" s="97">
        <v>0</v>
      </c>
      <c r="P52" s="97"/>
      <c r="Q52" s="97"/>
      <c r="R52" s="97"/>
      <c r="S52" s="97"/>
      <c r="T52" s="97"/>
      <c r="U52" s="97"/>
      <c r="V52" s="97"/>
      <c r="W52" s="97"/>
      <c r="X52" s="97"/>
      <c r="Y52" s="97">
        <v>0</v>
      </c>
      <c r="Z52" s="60"/>
      <c r="AA52" s="111">
        <f t="shared" si="2"/>
        <v>0</v>
      </c>
      <c r="AB52" s="60"/>
      <c r="AC52" s="60"/>
    </row>
    <row r="53" spans="1:29" ht="12.75">
      <c r="A53" s="60" t="s">
        <v>206</v>
      </c>
      <c r="B53" s="60"/>
      <c r="C53" s="97">
        <v>0</v>
      </c>
      <c r="D53" s="97"/>
      <c r="E53" s="61">
        <v>0</v>
      </c>
      <c r="F53" s="97"/>
      <c r="G53" s="97">
        <v>0</v>
      </c>
      <c r="H53" s="97"/>
      <c r="I53" s="97">
        <v>0</v>
      </c>
      <c r="J53" s="97"/>
      <c r="K53" s="61">
        <f t="shared" si="1"/>
        <v>0</v>
      </c>
      <c r="L53" s="97"/>
      <c r="M53" s="97">
        <v>0</v>
      </c>
      <c r="N53" s="97"/>
      <c r="O53" s="97">
        <v>0</v>
      </c>
      <c r="P53" s="97"/>
      <c r="Q53" s="97"/>
      <c r="R53" s="97"/>
      <c r="S53" s="97"/>
      <c r="T53" s="97"/>
      <c r="U53" s="97"/>
      <c r="V53" s="97"/>
      <c r="W53" s="97"/>
      <c r="X53" s="97"/>
      <c r="Y53" s="97">
        <v>0</v>
      </c>
      <c r="Z53" s="60"/>
      <c r="AA53" s="111">
        <f t="shared" si="2"/>
        <v>0</v>
      </c>
      <c r="AB53" s="60"/>
      <c r="AC53" s="60"/>
    </row>
    <row r="54" spans="1:29" ht="12.75">
      <c r="A54" s="60" t="s">
        <v>235</v>
      </c>
      <c r="B54" s="60"/>
      <c r="C54" s="97">
        <v>-500</v>
      </c>
      <c r="D54" s="97"/>
      <c r="E54" s="61">
        <v>-500</v>
      </c>
      <c r="F54" s="97"/>
      <c r="G54" s="97">
        <v>-500</v>
      </c>
      <c r="H54" s="97"/>
      <c r="I54" s="97">
        <v>-500</v>
      </c>
      <c r="J54" s="97"/>
      <c r="K54" s="61">
        <f t="shared" si="1"/>
        <v>-2000</v>
      </c>
      <c r="L54" s="97"/>
      <c r="M54" s="97">
        <v>0</v>
      </c>
      <c r="N54" s="97"/>
      <c r="O54" s="97">
        <v>0</v>
      </c>
      <c r="P54" s="97"/>
      <c r="Q54" s="97"/>
      <c r="R54" s="97"/>
      <c r="S54" s="97"/>
      <c r="T54" s="97"/>
      <c r="U54" s="97"/>
      <c r="V54" s="97"/>
      <c r="W54" s="97"/>
      <c r="X54" s="97"/>
      <c r="Y54" s="97">
        <v>0</v>
      </c>
      <c r="Z54" s="60"/>
      <c r="AA54" s="111">
        <f t="shared" si="2"/>
        <v>-2000</v>
      </c>
      <c r="AB54" s="60"/>
      <c r="AC54" s="60"/>
    </row>
    <row r="55" spans="1:29" ht="12.75">
      <c r="A55" s="60" t="s">
        <v>237</v>
      </c>
      <c r="B55" s="60"/>
      <c r="C55" s="97"/>
      <c r="D55" s="97"/>
      <c r="E55" s="61">
        <v>0</v>
      </c>
      <c r="F55" s="97"/>
      <c r="G55" s="97"/>
      <c r="H55" s="97"/>
      <c r="I55" s="97"/>
      <c r="J55" s="97"/>
      <c r="K55" s="61">
        <f t="shared" si="1"/>
        <v>0</v>
      </c>
      <c r="L55" s="97"/>
      <c r="M55" s="97">
        <f>3387-1703</f>
        <v>1684</v>
      </c>
      <c r="N55" s="97"/>
      <c r="O55" s="97"/>
      <c r="P55" s="97"/>
      <c r="Q55" s="97"/>
      <c r="R55" s="97"/>
      <c r="S55" s="97"/>
      <c r="T55" s="97"/>
      <c r="U55" s="97"/>
      <c r="V55" s="97"/>
      <c r="W55" s="97"/>
      <c r="X55" s="97"/>
      <c r="Y55" s="97"/>
      <c r="Z55" s="60"/>
      <c r="AA55" s="111">
        <f t="shared" si="2"/>
        <v>1684</v>
      </c>
      <c r="AB55" s="60"/>
      <c r="AC55" s="60"/>
    </row>
    <row r="56" spans="1:29" ht="12.75">
      <c r="A56" s="60" t="s">
        <v>204</v>
      </c>
      <c r="B56" s="60"/>
      <c r="C56" s="97">
        <v>0</v>
      </c>
      <c r="D56" s="97"/>
      <c r="E56" s="61">
        <v>341</v>
      </c>
      <c r="F56" s="97"/>
      <c r="G56" s="97">
        <v>445</v>
      </c>
      <c r="H56" s="97"/>
      <c r="I56" s="97">
        <v>0</v>
      </c>
      <c r="J56" s="97"/>
      <c r="K56" s="61">
        <f t="shared" si="1"/>
        <v>786</v>
      </c>
      <c r="L56" s="97"/>
      <c r="M56" s="97">
        <v>0</v>
      </c>
      <c r="N56" s="97"/>
      <c r="O56" s="97"/>
      <c r="P56" s="97"/>
      <c r="Q56" s="97">
        <v>5405</v>
      </c>
      <c r="R56" s="97"/>
      <c r="S56" s="97">
        <v>0</v>
      </c>
      <c r="T56" s="97"/>
      <c r="U56" s="97">
        <v>0</v>
      </c>
      <c r="V56" s="97"/>
      <c r="W56" s="97"/>
      <c r="X56" s="97"/>
      <c r="Y56" s="97">
        <v>0</v>
      </c>
      <c r="Z56" s="60"/>
      <c r="AA56" s="111">
        <f t="shared" si="2"/>
        <v>6191</v>
      </c>
      <c r="AB56" s="60"/>
      <c r="AC56" s="60"/>
    </row>
    <row r="57" spans="1:29" ht="12.75">
      <c r="A57" s="60" t="s">
        <v>179</v>
      </c>
      <c r="B57" s="60"/>
      <c r="C57" s="97">
        <v>4198</v>
      </c>
      <c r="D57" s="97"/>
      <c r="E57" s="61">
        <v>2053</v>
      </c>
      <c r="F57" s="97"/>
      <c r="G57" s="97">
        <v>1067</v>
      </c>
      <c r="H57" s="97"/>
      <c r="I57" s="97">
        <v>687</v>
      </c>
      <c r="J57" s="97"/>
      <c r="K57" s="61">
        <f t="shared" si="1"/>
        <v>8005</v>
      </c>
      <c r="L57" s="97"/>
      <c r="M57" s="97">
        <v>4920</v>
      </c>
      <c r="N57" s="97"/>
      <c r="O57" s="97">
        <v>1790</v>
      </c>
      <c r="P57" s="97"/>
      <c r="Q57" s="97"/>
      <c r="R57" s="97"/>
      <c r="S57" s="97">
        <v>806</v>
      </c>
      <c r="T57" s="97"/>
      <c r="U57" s="97">
        <v>100</v>
      </c>
      <c r="V57" s="97"/>
      <c r="W57" s="97"/>
      <c r="X57" s="97"/>
      <c r="Y57" s="60"/>
      <c r="Z57" s="60"/>
      <c r="AA57" s="111">
        <f t="shared" si="2"/>
        <v>15621</v>
      </c>
      <c r="AB57" s="60"/>
      <c r="AC57" s="60"/>
    </row>
    <row r="58" spans="1:29" ht="12" customHeight="1">
      <c r="A58" s="60" t="s">
        <v>50</v>
      </c>
      <c r="B58" s="60"/>
      <c r="C58" s="97">
        <v>1002</v>
      </c>
      <c r="D58" s="97"/>
      <c r="E58" s="61">
        <v>330</v>
      </c>
      <c r="F58" s="97"/>
      <c r="G58" s="97">
        <v>920</v>
      </c>
      <c r="H58" s="97"/>
      <c r="I58" s="61">
        <v>289</v>
      </c>
      <c r="J58" s="61"/>
      <c r="K58" s="61">
        <f t="shared" si="1"/>
        <v>2541</v>
      </c>
      <c r="L58" s="61"/>
      <c r="M58" s="97">
        <v>166</v>
      </c>
      <c r="N58" s="97"/>
      <c r="O58" s="61">
        <v>476</v>
      </c>
      <c r="P58" s="97"/>
      <c r="Q58" s="97"/>
      <c r="R58" s="97"/>
      <c r="S58" s="61"/>
      <c r="T58" s="61"/>
      <c r="U58" s="61"/>
      <c r="V58" s="61"/>
      <c r="W58" s="61"/>
      <c r="X58" s="61"/>
      <c r="Y58" s="97">
        <v>0</v>
      </c>
      <c r="Z58" s="60"/>
      <c r="AA58" s="111">
        <f t="shared" si="2"/>
        <v>3183</v>
      </c>
      <c r="AB58" s="60"/>
      <c r="AC58" s="60"/>
    </row>
    <row r="59" spans="1:29" ht="12.75">
      <c r="A59" s="60" t="s">
        <v>265</v>
      </c>
      <c r="B59" s="60"/>
      <c r="C59" s="97">
        <v>300</v>
      </c>
      <c r="D59" s="97"/>
      <c r="E59" s="145">
        <v>0</v>
      </c>
      <c r="F59" s="97"/>
      <c r="G59" s="97">
        <v>0</v>
      </c>
      <c r="H59" s="97"/>
      <c r="I59" s="97">
        <v>0</v>
      </c>
      <c r="J59" s="97"/>
      <c r="K59" s="61">
        <f t="shared" si="1"/>
        <v>300</v>
      </c>
      <c r="L59" s="97"/>
      <c r="M59" s="97">
        <v>180</v>
      </c>
      <c r="N59" s="97"/>
      <c r="O59" s="97"/>
      <c r="P59" s="97"/>
      <c r="Q59" s="97">
        <v>3981</v>
      </c>
      <c r="R59" s="97"/>
      <c r="S59" s="97"/>
      <c r="T59" s="97"/>
      <c r="U59" s="97"/>
      <c r="V59" s="97"/>
      <c r="W59" s="97"/>
      <c r="X59" s="97"/>
      <c r="Y59" s="97">
        <v>0</v>
      </c>
      <c r="Z59" s="60"/>
      <c r="AA59" s="111">
        <f t="shared" si="2"/>
        <v>4461</v>
      </c>
      <c r="AB59" s="60"/>
      <c r="AC59" s="60"/>
    </row>
    <row r="60" spans="1:29" ht="12.75">
      <c r="A60" s="60" t="s">
        <v>180</v>
      </c>
      <c r="B60" s="60"/>
      <c r="C60" s="97">
        <v>7836</v>
      </c>
      <c r="D60" s="97"/>
      <c r="E60" s="61">
        <v>1275</v>
      </c>
      <c r="F60" s="97"/>
      <c r="G60" s="61">
        <v>1280</v>
      </c>
      <c r="H60" s="61"/>
      <c r="I60" s="61">
        <v>355</v>
      </c>
      <c r="J60" s="61"/>
      <c r="K60" s="61">
        <f t="shared" si="1"/>
        <v>10746</v>
      </c>
      <c r="L60" s="61"/>
      <c r="M60" s="97">
        <v>2245</v>
      </c>
      <c r="N60" s="97"/>
      <c r="O60" s="61">
        <v>1680</v>
      </c>
      <c r="P60" s="97"/>
      <c r="Q60" s="97"/>
      <c r="R60" s="97"/>
      <c r="S60" s="61">
        <v>350</v>
      </c>
      <c r="T60" s="61">
        <v>0</v>
      </c>
      <c r="U60" s="61"/>
      <c r="V60" s="61"/>
      <c r="W60" s="61"/>
      <c r="X60" s="61"/>
      <c r="Y60" s="61">
        <v>0</v>
      </c>
      <c r="Z60" s="60"/>
      <c r="AA60" s="111">
        <f t="shared" si="2"/>
        <v>15021</v>
      </c>
      <c r="AB60" s="60"/>
      <c r="AC60" s="60"/>
    </row>
    <row r="61" spans="1:29" ht="12.75">
      <c r="A61" s="60" t="s">
        <v>86</v>
      </c>
      <c r="B61" s="60"/>
      <c r="C61" s="97">
        <v>945</v>
      </c>
      <c r="D61" s="97"/>
      <c r="E61" s="61">
        <v>800</v>
      </c>
      <c r="F61" s="97"/>
      <c r="G61" s="61">
        <v>400</v>
      </c>
      <c r="H61" s="61"/>
      <c r="I61" s="61">
        <v>400</v>
      </c>
      <c r="J61" s="61"/>
      <c r="K61" s="61">
        <f t="shared" si="1"/>
        <v>2545</v>
      </c>
      <c r="L61" s="61"/>
      <c r="M61" s="97">
        <v>1000</v>
      </c>
      <c r="N61" s="97"/>
      <c r="O61" s="61">
        <v>1000</v>
      </c>
      <c r="P61" s="97"/>
      <c r="Q61" s="97"/>
      <c r="R61" s="97"/>
      <c r="S61" s="61">
        <v>300</v>
      </c>
      <c r="T61" s="61"/>
      <c r="U61" s="61"/>
      <c r="V61" s="61"/>
      <c r="W61" s="61"/>
      <c r="X61" s="61"/>
      <c r="Y61" s="61">
        <v>100</v>
      </c>
      <c r="Z61" s="60"/>
      <c r="AA61" s="111">
        <f t="shared" si="2"/>
        <v>4945</v>
      </c>
      <c r="AB61" s="60"/>
      <c r="AC61" s="60"/>
    </row>
    <row r="62" spans="1:29" ht="12.75">
      <c r="A62" s="60" t="s">
        <v>52</v>
      </c>
      <c r="B62" s="60"/>
      <c r="C62" s="97">
        <v>900</v>
      </c>
      <c r="D62" s="97"/>
      <c r="E62" s="61">
        <v>1200</v>
      </c>
      <c r="F62" s="97"/>
      <c r="G62" s="170">
        <v>7672</v>
      </c>
      <c r="H62" s="61"/>
      <c r="I62" s="61">
        <v>52</v>
      </c>
      <c r="J62" s="61"/>
      <c r="K62" s="171">
        <f t="shared" si="1"/>
        <v>9824</v>
      </c>
      <c r="L62" s="171"/>
      <c r="M62" s="172">
        <v>8068</v>
      </c>
      <c r="N62" s="172"/>
      <c r="O62" s="171">
        <v>7672</v>
      </c>
      <c r="P62" s="172"/>
      <c r="Q62" s="172"/>
      <c r="R62" s="172"/>
      <c r="S62" s="171"/>
      <c r="T62" s="171"/>
      <c r="U62" s="171">
        <v>0</v>
      </c>
      <c r="V62" s="171"/>
      <c r="W62" s="171"/>
      <c r="X62" s="171"/>
      <c r="Y62" s="172">
        <v>0</v>
      </c>
      <c r="Z62" s="173"/>
      <c r="AA62" s="174">
        <f t="shared" si="2"/>
        <v>25564</v>
      </c>
      <c r="AB62" s="60"/>
      <c r="AC62" s="60"/>
    </row>
    <row r="63" spans="1:29" ht="15" customHeight="1">
      <c r="A63" s="60"/>
      <c r="B63" s="60"/>
      <c r="E63" s="60"/>
      <c r="F63" s="60"/>
      <c r="G63" s="60"/>
      <c r="H63" s="60"/>
      <c r="I63" s="60"/>
      <c r="J63" s="60"/>
      <c r="K63" s="173"/>
      <c r="L63" s="173"/>
      <c r="M63" s="173"/>
      <c r="N63" s="173"/>
      <c r="O63" s="173"/>
      <c r="P63" s="173"/>
      <c r="Q63" s="173"/>
      <c r="R63" s="173"/>
      <c r="S63" s="173"/>
      <c r="T63" s="173"/>
      <c r="U63" s="173"/>
      <c r="V63" s="173"/>
      <c r="W63" s="173"/>
      <c r="X63" s="173"/>
      <c r="Y63" s="173"/>
      <c r="Z63" s="173"/>
      <c r="AA63" s="174"/>
      <c r="AB63" s="60"/>
      <c r="AC63" s="60"/>
    </row>
    <row r="64" spans="1:29" ht="12.75">
      <c r="A64" s="104" t="s">
        <v>1</v>
      </c>
      <c r="B64" s="104"/>
      <c r="C64" s="169">
        <f>SUM(C26:C62)</f>
        <v>128265</v>
      </c>
      <c r="D64" s="87"/>
      <c r="E64" s="169">
        <f>SUM(E26:E62)</f>
        <v>95880</v>
      </c>
      <c r="F64" s="87"/>
      <c r="G64" s="169">
        <f>SUM(G26:G62)</f>
        <v>111764</v>
      </c>
      <c r="H64" s="87"/>
      <c r="I64" s="169">
        <f>SUM(I26:I62)</f>
        <v>22005</v>
      </c>
      <c r="J64" s="87">
        <f>SUM(J26:J62)</f>
        <v>0</v>
      </c>
      <c r="K64" s="175">
        <f>SUM(K26:K62)</f>
        <v>357914</v>
      </c>
      <c r="L64" s="175"/>
      <c r="M64" s="175">
        <f>SUM(M26:M62)</f>
        <v>249317</v>
      </c>
      <c r="N64" s="175"/>
      <c r="O64" s="175">
        <f>SUM(O26:O62)</f>
        <v>134425</v>
      </c>
      <c r="P64" s="175"/>
      <c r="Q64" s="175">
        <f>SUM(Q26:Q63)</f>
        <v>9386</v>
      </c>
      <c r="R64" s="175"/>
      <c r="S64" s="175">
        <f>SUM(S26:S62)</f>
        <v>13113.22</v>
      </c>
      <c r="T64" s="175"/>
      <c r="U64" s="175">
        <f>SUM(U26:U62)</f>
        <v>4765</v>
      </c>
      <c r="V64" s="175"/>
      <c r="W64" s="175">
        <f>SUM(W26:W62)</f>
        <v>7500</v>
      </c>
      <c r="X64" s="175"/>
      <c r="Y64" s="175">
        <f>SUM(Y26:Y62)</f>
        <v>3961</v>
      </c>
      <c r="Z64" s="175"/>
      <c r="AA64" s="175">
        <f>SUM(K64:Z64)</f>
        <v>780381.22</v>
      </c>
      <c r="AB64" s="60"/>
      <c r="AC64" s="60"/>
    </row>
    <row r="65" spans="1:29" ht="6.75" customHeight="1">
      <c r="A65" s="60"/>
      <c r="B65" s="60"/>
      <c r="C65" s="61"/>
      <c r="D65" s="61"/>
      <c r="E65" s="61"/>
      <c r="F65" s="61"/>
      <c r="G65" s="61"/>
      <c r="H65" s="61"/>
      <c r="I65" s="61"/>
      <c r="J65" s="61"/>
      <c r="K65" s="176"/>
      <c r="L65" s="171"/>
      <c r="M65" s="171"/>
      <c r="N65" s="171"/>
      <c r="O65" s="171"/>
      <c r="P65" s="171"/>
      <c r="Q65" s="171"/>
      <c r="R65" s="171"/>
      <c r="S65" s="171"/>
      <c r="T65" s="171"/>
      <c r="U65" s="171"/>
      <c r="V65" s="171"/>
      <c r="W65" s="171"/>
      <c r="X65" s="171"/>
      <c r="Y65" s="171"/>
      <c r="Z65" s="171"/>
      <c r="AA65" s="171">
        <f>C65+E65+G65+M65+I65</f>
        <v>0</v>
      </c>
      <c r="AB65" s="60"/>
      <c r="AC65" s="60"/>
    </row>
    <row r="66" spans="1:29" ht="13.5" customHeight="1">
      <c r="A66" s="60"/>
      <c r="B66" s="60"/>
      <c r="C66" s="61"/>
      <c r="D66" s="61"/>
      <c r="E66" s="61"/>
      <c r="F66" s="61"/>
      <c r="G66" s="61"/>
      <c r="H66" s="61"/>
      <c r="I66" s="61"/>
      <c r="J66" s="61"/>
      <c r="K66" s="171"/>
      <c r="L66" s="171"/>
      <c r="M66" s="171"/>
      <c r="N66" s="171"/>
      <c r="O66" s="171"/>
      <c r="P66" s="171"/>
      <c r="Q66" s="171"/>
      <c r="R66" s="171"/>
      <c r="S66" s="171"/>
      <c r="T66" s="171"/>
      <c r="U66" s="171"/>
      <c r="V66" s="171"/>
      <c r="W66" s="171"/>
      <c r="X66" s="171"/>
      <c r="Y66" s="171"/>
      <c r="Z66" s="171"/>
      <c r="AA66" s="171"/>
      <c r="AB66" s="60"/>
      <c r="AC66" s="60"/>
    </row>
    <row r="67" spans="1:29" ht="1.5" customHeight="1">
      <c r="A67" s="60"/>
      <c r="B67" s="60"/>
      <c r="C67" s="61"/>
      <c r="D67" s="61"/>
      <c r="E67" s="61"/>
      <c r="F67" s="61"/>
      <c r="G67" s="61"/>
      <c r="H67" s="61"/>
      <c r="I67" s="61"/>
      <c r="J67" s="61"/>
      <c r="K67" s="171"/>
      <c r="L67" s="171"/>
      <c r="M67" s="171"/>
      <c r="N67" s="171"/>
      <c r="O67" s="171"/>
      <c r="P67" s="171"/>
      <c r="Q67" s="171"/>
      <c r="R67" s="171"/>
      <c r="S67" s="171"/>
      <c r="T67" s="171"/>
      <c r="U67" s="171"/>
      <c r="V67" s="171"/>
      <c r="W67" s="171"/>
      <c r="X67" s="171"/>
      <c r="Y67" s="171"/>
      <c r="Z67" s="171"/>
      <c r="AA67" s="171"/>
      <c r="AB67" s="60"/>
      <c r="AC67" s="60"/>
    </row>
    <row r="68" spans="1:29" ht="21.75" customHeight="1" thickBot="1">
      <c r="A68" s="104" t="s">
        <v>189</v>
      </c>
      <c r="B68" s="104"/>
      <c r="C68" s="98">
        <f>C23-C64</f>
        <v>23384</v>
      </c>
      <c r="D68" s="98"/>
      <c r="E68" s="98">
        <f>E23-E64</f>
        <v>-25880</v>
      </c>
      <c r="F68" s="138"/>
      <c r="G68" s="98">
        <f>G23-G64</f>
        <v>-18451</v>
      </c>
      <c r="H68" s="98"/>
      <c r="I68" s="98">
        <f>I23-I64</f>
        <v>-5</v>
      </c>
      <c r="J68" s="98">
        <f>J23-J64</f>
        <v>0</v>
      </c>
      <c r="K68" s="177">
        <f>K23-K64</f>
        <v>-20952</v>
      </c>
      <c r="L68" s="177"/>
      <c r="M68" s="177">
        <f>M23-M64</f>
        <v>-18562</v>
      </c>
      <c r="N68" s="178"/>
      <c r="O68" s="177">
        <f>O23-O64</f>
        <v>-5225</v>
      </c>
      <c r="P68" s="178"/>
      <c r="Q68" s="177">
        <f>Q23-Q64</f>
        <v>-9386</v>
      </c>
      <c r="R68" s="178"/>
      <c r="S68" s="177">
        <f>S23-S64</f>
        <v>5983.780000000001</v>
      </c>
      <c r="T68" s="177"/>
      <c r="U68" s="177">
        <f>U23-U64</f>
        <v>-4765</v>
      </c>
      <c r="V68" s="177"/>
      <c r="W68" s="177">
        <f>W23-W64</f>
        <v>3000</v>
      </c>
      <c r="X68" s="177"/>
      <c r="Y68" s="177">
        <f>Y23-Y64</f>
        <v>19361</v>
      </c>
      <c r="Z68" s="177">
        <f>Z23-Z64</f>
        <v>0</v>
      </c>
      <c r="AA68" s="177">
        <f>AA23-AA64</f>
        <v>-30545.219999999972</v>
      </c>
      <c r="AB68" s="97"/>
      <c r="AC68" s="60"/>
    </row>
    <row r="69" spans="1:28" ht="6.75" customHeight="1" thickTop="1">
      <c r="A69" s="60"/>
      <c r="B69" s="60"/>
      <c r="E69" s="60"/>
      <c r="F69" s="60"/>
      <c r="G69" s="60"/>
      <c r="H69" s="60"/>
      <c r="I69" s="60"/>
      <c r="J69" s="60"/>
      <c r="K69" s="173"/>
      <c r="L69" s="173"/>
      <c r="M69" s="173"/>
      <c r="N69" s="173"/>
      <c r="O69" s="173"/>
      <c r="P69" s="173"/>
      <c r="Q69" s="173"/>
      <c r="R69" s="173"/>
      <c r="S69" s="173"/>
      <c r="T69" s="173"/>
      <c r="U69" s="173"/>
      <c r="V69" s="173"/>
      <c r="W69" s="173"/>
      <c r="X69" s="173"/>
      <c r="Y69" s="173"/>
      <c r="Z69" s="173"/>
      <c r="AA69" s="173"/>
      <c r="AB69" s="60"/>
    </row>
    <row r="70" spans="1:28" ht="12.75">
      <c r="A70" s="201"/>
      <c r="B70" s="201"/>
      <c r="C70" s="201"/>
      <c r="D70" s="201"/>
      <c r="E70" s="201"/>
      <c r="F70" s="201"/>
      <c r="G70" s="201"/>
      <c r="H70" s="201"/>
      <c r="I70" s="201"/>
      <c r="J70" s="201"/>
      <c r="K70" s="201"/>
      <c r="L70" s="201"/>
      <c r="M70" s="201"/>
      <c r="N70" s="201"/>
      <c r="O70" s="201"/>
      <c r="P70" s="201"/>
      <c r="Q70" s="201"/>
      <c r="R70" s="201"/>
      <c r="S70" s="201"/>
      <c r="T70" s="201"/>
      <c r="U70" s="201"/>
      <c r="V70" s="201"/>
      <c r="W70" s="201"/>
      <c r="X70" s="201"/>
      <c r="Y70" s="201"/>
      <c r="Z70" s="201"/>
      <c r="AA70" s="201"/>
      <c r="AB70" s="60"/>
    </row>
    <row r="71" spans="1:28" ht="12.75">
      <c r="A71" s="60"/>
      <c r="B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60"/>
      <c r="T71" s="60"/>
      <c r="U71" s="60"/>
      <c r="V71" s="60"/>
      <c r="W71" s="60"/>
      <c r="X71" s="60"/>
      <c r="Y71" s="60"/>
      <c r="Z71" s="60"/>
      <c r="AB71" s="60"/>
    </row>
    <row r="72" spans="1:28" ht="12.75">
      <c r="A72" s="60"/>
      <c r="B72" s="60"/>
      <c r="E72" s="60"/>
      <c r="F72" s="60"/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  <c r="S72" s="60"/>
      <c r="T72" s="60"/>
      <c r="U72" s="60"/>
      <c r="V72" s="60"/>
      <c r="W72" s="60"/>
      <c r="X72" s="60"/>
      <c r="Y72" s="60"/>
      <c r="Z72" s="60"/>
      <c r="AB72" s="60"/>
    </row>
    <row r="73" spans="1:28" ht="12.75">
      <c r="A73" s="60"/>
      <c r="B73" s="60"/>
      <c r="C73" s="139"/>
      <c r="D73" s="139"/>
      <c r="E73" s="60"/>
      <c r="F73" s="60"/>
      <c r="G73" s="60"/>
      <c r="H73" s="60"/>
      <c r="I73" s="60"/>
      <c r="J73" s="60"/>
      <c r="K73" s="139"/>
      <c r="L73" s="60"/>
      <c r="M73" s="60"/>
      <c r="N73" s="60"/>
      <c r="O73" s="60"/>
      <c r="P73" s="60"/>
      <c r="Q73" s="60"/>
      <c r="R73" s="60"/>
      <c r="S73" s="60"/>
      <c r="T73" s="60"/>
      <c r="U73" s="60"/>
      <c r="V73" s="60"/>
      <c r="W73" s="60"/>
      <c r="X73" s="60"/>
      <c r="Y73" s="60"/>
      <c r="Z73" s="60"/>
      <c r="AA73" s="139"/>
      <c r="AB73" s="60"/>
    </row>
    <row r="74" spans="1:28" ht="12.75">
      <c r="A74" s="60"/>
      <c r="B74" s="60"/>
      <c r="E74" s="60"/>
      <c r="F74" s="60"/>
      <c r="G74" s="60"/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60"/>
      <c r="S74" s="60"/>
      <c r="T74" s="60"/>
      <c r="U74" s="60"/>
      <c r="V74" s="60"/>
      <c r="W74" s="60"/>
      <c r="X74" s="60"/>
      <c r="Y74" s="60"/>
      <c r="Z74" s="60"/>
      <c r="AB74" s="60"/>
    </row>
    <row r="75" spans="1:28" ht="12.75">
      <c r="A75" s="60"/>
      <c r="B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60"/>
      <c r="U75" s="60"/>
      <c r="V75" s="60"/>
      <c r="W75" s="60"/>
      <c r="X75" s="60"/>
      <c r="Y75" s="60"/>
      <c r="Z75" s="60"/>
      <c r="AB75" s="60"/>
    </row>
    <row r="76" spans="1:28" ht="12.75">
      <c r="A76" s="60"/>
      <c r="B76" s="60"/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60"/>
      <c r="T76" s="60"/>
      <c r="U76" s="60"/>
      <c r="V76" s="60"/>
      <c r="W76" s="60"/>
      <c r="X76" s="60"/>
      <c r="Y76" s="60"/>
      <c r="Z76" s="60"/>
      <c r="AB76" s="60"/>
    </row>
    <row r="77" spans="1:28" ht="12.75">
      <c r="A77" s="60"/>
      <c r="B77" s="60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60"/>
      <c r="T77" s="60"/>
      <c r="U77" s="60"/>
      <c r="V77" s="60"/>
      <c r="W77" s="60"/>
      <c r="X77" s="60"/>
      <c r="Y77" s="60"/>
      <c r="Z77" s="60"/>
      <c r="AB77" s="60"/>
    </row>
  </sheetData>
  <sheetProtection/>
  <mergeCells count="5">
    <mergeCell ref="A70:AA70"/>
    <mergeCell ref="B2:AA2"/>
    <mergeCell ref="B3:AA3"/>
    <mergeCell ref="B5:AA5"/>
    <mergeCell ref="B4:AA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8"/>
  <headerFooter alignWithMargins="0">
    <oddFooter>&amp;C&amp;P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"/>
  <sheetViews>
    <sheetView view="pageLayout" workbookViewId="0" topLeftCell="A17">
      <selection activeCell="I38" sqref="I38"/>
    </sheetView>
  </sheetViews>
  <sheetFormatPr defaultColWidth="9.140625" defaultRowHeight="12.75"/>
  <cols>
    <col min="1" max="1" width="25.140625" style="2" customWidth="1"/>
    <col min="2" max="2" width="3.421875" style="2" customWidth="1"/>
    <col min="3" max="3" width="6.421875" style="2" customWidth="1"/>
    <col min="4" max="5" width="12.28125" style="2" customWidth="1"/>
    <col min="6" max="6" width="2.421875" style="2" customWidth="1"/>
    <col min="7" max="8" width="12.28125" style="2" customWidth="1"/>
    <col min="9" max="16384" width="9.140625" style="2" customWidth="1"/>
  </cols>
  <sheetData>
    <row r="1" spans="1:8" ht="19.5">
      <c r="A1" s="18"/>
      <c r="B1" s="181" t="s">
        <v>199</v>
      </c>
      <c r="C1" s="206"/>
      <c r="D1" s="206"/>
      <c r="E1" s="206"/>
      <c r="F1" s="206"/>
      <c r="G1" s="206"/>
      <c r="H1" s="207"/>
    </row>
    <row r="2" spans="1:8" ht="19.5">
      <c r="A2" s="16"/>
      <c r="B2" s="185" t="s">
        <v>289</v>
      </c>
      <c r="C2" s="208"/>
      <c r="D2" s="208"/>
      <c r="E2" s="208"/>
      <c r="F2" s="208"/>
      <c r="G2" s="208"/>
      <c r="H2" s="209"/>
    </row>
    <row r="3" spans="1:8" ht="8.25" customHeight="1">
      <c r="A3" s="16"/>
      <c r="B3" s="189"/>
      <c r="C3" s="210"/>
      <c r="D3" s="210"/>
      <c r="E3" s="210"/>
      <c r="F3" s="210"/>
      <c r="G3" s="210"/>
      <c r="H3" s="211"/>
    </row>
    <row r="4" spans="1:8" ht="23.25" customHeight="1" thickBot="1">
      <c r="A4" s="19"/>
      <c r="B4" s="193" t="s">
        <v>12</v>
      </c>
      <c r="C4" s="212"/>
      <c r="D4" s="212"/>
      <c r="E4" s="212"/>
      <c r="F4" s="212"/>
      <c r="G4" s="212"/>
      <c r="H4" s="213"/>
    </row>
    <row r="5" ht="11.25" customHeight="1" thickBot="1"/>
    <row r="6" spans="4:8" ht="12.75">
      <c r="D6" s="202" t="s">
        <v>18</v>
      </c>
      <c r="E6" s="203"/>
      <c r="F6" s="15"/>
      <c r="G6" s="202" t="s">
        <v>18</v>
      </c>
      <c r="H6" s="203"/>
    </row>
    <row r="7" spans="4:8" ht="12.75">
      <c r="D7" s="204">
        <v>43830</v>
      </c>
      <c r="E7" s="205"/>
      <c r="F7" s="15"/>
      <c r="G7" s="204">
        <v>43465</v>
      </c>
      <c r="H7" s="205"/>
    </row>
    <row r="8" spans="4:8" ht="13.5" thickBot="1">
      <c r="D8" s="40" t="s">
        <v>7</v>
      </c>
      <c r="E8" s="41" t="s">
        <v>7</v>
      </c>
      <c r="F8" s="15"/>
      <c r="G8" s="40" t="s">
        <v>7</v>
      </c>
      <c r="H8" s="41" t="s">
        <v>7</v>
      </c>
    </row>
    <row r="10" spans="1:5" ht="12.75">
      <c r="A10" s="7" t="s">
        <v>13</v>
      </c>
      <c r="C10" s="7" t="s">
        <v>19</v>
      </c>
      <c r="D10" s="60"/>
      <c r="E10" s="60"/>
    </row>
    <row r="11" spans="1:8" ht="12.75">
      <c r="A11" s="2" t="s">
        <v>21</v>
      </c>
      <c r="D11" s="60"/>
      <c r="E11" s="14">
        <f>'Accounts Details '!H13</f>
        <v>358967</v>
      </c>
      <c r="G11" s="60"/>
      <c r="H11" s="14">
        <v>384968</v>
      </c>
    </row>
    <row r="12" spans="4:8" ht="12.75">
      <c r="D12" s="60"/>
      <c r="E12" s="61"/>
      <c r="G12" s="60"/>
      <c r="H12" s="61"/>
    </row>
    <row r="13" spans="1:8" ht="12.75">
      <c r="A13" s="7" t="s">
        <v>14</v>
      </c>
      <c r="D13" s="61"/>
      <c r="E13" s="61"/>
      <c r="G13" s="61"/>
      <c r="H13" s="61"/>
    </row>
    <row r="14" spans="1:8" ht="12.75">
      <c r="A14" s="2" t="s">
        <v>77</v>
      </c>
      <c r="C14" s="3">
        <v>1</v>
      </c>
      <c r="D14" s="24">
        <f>'Accounts Details '!H25</f>
        <v>4814</v>
      </c>
      <c r="E14" s="61"/>
      <c r="G14" s="61">
        <v>18984</v>
      </c>
      <c r="H14" s="61"/>
    </row>
    <row r="15" spans="1:8" ht="12.75">
      <c r="A15" s="2" t="s">
        <v>22</v>
      </c>
      <c r="C15" s="3">
        <v>2</v>
      </c>
      <c r="D15" s="91">
        <f>'Accounts Details '!H40</f>
        <v>74952.2</v>
      </c>
      <c r="E15" s="61"/>
      <c r="G15" s="91">
        <v>72773</v>
      </c>
      <c r="H15" s="61"/>
    </row>
    <row r="16" spans="3:8" ht="12.75">
      <c r="C16" s="3"/>
      <c r="D16" s="110">
        <f>D14+D15</f>
        <v>79766.2</v>
      </c>
      <c r="E16" s="61"/>
      <c r="G16" s="110">
        <f>SUM(G14:G15)</f>
        <v>91757</v>
      </c>
      <c r="H16" s="61"/>
    </row>
    <row r="17" spans="3:8" ht="12.75">
      <c r="C17" s="3"/>
      <c r="D17" s="61"/>
      <c r="E17" s="61"/>
      <c r="G17" s="61"/>
      <c r="H17" s="61"/>
    </row>
    <row r="18" spans="1:8" ht="12.75">
      <c r="A18" s="7" t="s">
        <v>15</v>
      </c>
      <c r="C18" s="3"/>
      <c r="D18" s="61"/>
      <c r="E18" s="61"/>
      <c r="G18" s="61"/>
      <c r="H18" s="61"/>
    </row>
    <row r="19" spans="1:8" ht="12.75">
      <c r="A19" s="2" t="s">
        <v>160</v>
      </c>
      <c r="C19" s="3">
        <v>3</v>
      </c>
      <c r="D19" s="6">
        <f>'Accounts Details '!H56</f>
        <v>19849</v>
      </c>
      <c r="E19" s="6"/>
      <c r="G19" s="61">
        <v>24764</v>
      </c>
      <c r="H19" s="61"/>
    </row>
    <row r="20" spans="1:8" ht="12.75" hidden="1">
      <c r="A20" s="2" t="s">
        <v>23</v>
      </c>
      <c r="C20" s="3"/>
      <c r="D20" s="6">
        <v>0</v>
      </c>
      <c r="G20" s="61">
        <v>0</v>
      </c>
      <c r="H20" s="60"/>
    </row>
    <row r="21" spans="1:8" ht="12.75">
      <c r="A21" s="2" t="s">
        <v>213</v>
      </c>
      <c r="C21" s="3"/>
      <c r="D21" s="6">
        <v>10608</v>
      </c>
      <c r="G21" s="61">
        <v>12328</v>
      </c>
      <c r="H21" s="60"/>
    </row>
    <row r="22" spans="1:8" ht="12.75">
      <c r="A22" s="2" t="s">
        <v>249</v>
      </c>
      <c r="C22" s="3"/>
      <c r="D22" s="6">
        <v>0</v>
      </c>
      <c r="G22" s="61">
        <v>7500</v>
      </c>
      <c r="H22" s="60"/>
    </row>
    <row r="23" spans="3:8" ht="12.75">
      <c r="C23" s="3"/>
      <c r="D23" s="21">
        <f>SUM(D19:D22)</f>
        <v>30457</v>
      </c>
      <c r="E23" s="6"/>
      <c r="G23" s="110">
        <f>SUM(G19:G22)</f>
        <v>44592</v>
      </c>
      <c r="H23" s="61"/>
    </row>
    <row r="24" spans="1:8" ht="12.75">
      <c r="A24" s="2" t="s">
        <v>16</v>
      </c>
      <c r="C24" s="3"/>
      <c r="D24" s="6"/>
      <c r="E24" s="6"/>
      <c r="G24" s="61"/>
      <c r="H24" s="61"/>
    </row>
    <row r="25" spans="3:8" ht="12.75">
      <c r="C25" s="3"/>
      <c r="D25" s="6"/>
      <c r="E25" s="6"/>
      <c r="G25" s="61"/>
      <c r="H25" s="61"/>
    </row>
    <row r="26" spans="3:8" ht="12.75">
      <c r="C26" s="3"/>
      <c r="D26" s="6"/>
      <c r="E26" s="6"/>
      <c r="G26" s="61"/>
      <c r="H26" s="61"/>
    </row>
    <row r="27" spans="1:8" ht="12.75">
      <c r="A27" s="22" t="s">
        <v>37</v>
      </c>
      <c r="B27" s="22"/>
      <c r="C27" s="62"/>
      <c r="D27" s="14"/>
      <c r="E27" s="23">
        <f>D16-D23</f>
        <v>49309.2</v>
      </c>
      <c r="G27" s="14"/>
      <c r="H27" s="23">
        <f>G16-G23</f>
        <v>47165</v>
      </c>
    </row>
    <row r="28" spans="1:8" ht="12.75">
      <c r="A28" s="22"/>
      <c r="B28" s="22"/>
      <c r="C28" s="22"/>
      <c r="D28" s="14"/>
      <c r="E28" s="24"/>
      <c r="G28" s="14"/>
      <c r="H28" s="24"/>
    </row>
    <row r="29" spans="1:8" ht="13.5" thickBot="1">
      <c r="A29" s="25"/>
      <c r="B29" s="25"/>
      <c r="C29" s="25"/>
      <c r="D29" s="14"/>
      <c r="E29" s="107">
        <f>E11+E27</f>
        <v>408276.2</v>
      </c>
      <c r="F29" s="7"/>
      <c r="G29" s="111"/>
      <c r="H29" s="107">
        <f>H27+H11</f>
        <v>432133</v>
      </c>
    </row>
    <row r="30" spans="1:8" ht="13.5" thickTop="1">
      <c r="A30" s="22" t="s">
        <v>17</v>
      </c>
      <c r="B30" s="22"/>
      <c r="C30" s="22"/>
      <c r="D30" s="14"/>
      <c r="E30" s="24"/>
      <c r="G30" s="14"/>
      <c r="H30" s="24"/>
    </row>
    <row r="31" spans="1:8" ht="12.75">
      <c r="A31" s="22"/>
      <c r="B31" s="22"/>
      <c r="C31" s="22"/>
      <c r="D31" s="14"/>
      <c r="E31" s="24"/>
      <c r="F31" s="60"/>
      <c r="G31" s="14"/>
      <c r="H31" s="24"/>
    </row>
    <row r="32" spans="1:8" ht="12.75">
      <c r="A32" s="25" t="s">
        <v>259</v>
      </c>
      <c r="B32" s="25"/>
      <c r="C32" s="25"/>
      <c r="D32" s="14"/>
      <c r="E32" s="24">
        <v>11431</v>
      </c>
      <c r="F32" s="60"/>
      <c r="G32" s="14"/>
      <c r="H32" s="24"/>
    </row>
    <row r="33" spans="1:8" ht="12.75">
      <c r="A33" s="25" t="s">
        <v>241</v>
      </c>
      <c r="B33" s="25"/>
      <c r="C33" s="25"/>
      <c r="D33" s="14"/>
      <c r="E33" s="24">
        <v>23327</v>
      </c>
      <c r="F33" s="60"/>
      <c r="G33" s="14"/>
      <c r="H33" s="24">
        <v>23327</v>
      </c>
    </row>
    <row r="34" spans="1:8" ht="12.75">
      <c r="A34" s="25" t="s">
        <v>196</v>
      </c>
      <c r="B34" s="25"/>
      <c r="C34" s="25"/>
      <c r="D34" s="14"/>
      <c r="E34" s="24">
        <f>'P&amp;L Summary'!C73</f>
        <v>-27602.329999999958</v>
      </c>
      <c r="F34" s="60"/>
      <c r="G34" s="14"/>
      <c r="H34" s="24">
        <v>11431</v>
      </c>
    </row>
    <row r="35" spans="1:8" ht="12.75">
      <c r="A35" s="25" t="s">
        <v>208</v>
      </c>
      <c r="B35" s="25"/>
      <c r="C35" s="25"/>
      <c r="D35" s="14"/>
      <c r="E35" s="24">
        <v>175487</v>
      </c>
      <c r="F35" s="60"/>
      <c r="G35" s="14"/>
      <c r="H35" s="24">
        <v>175487</v>
      </c>
    </row>
    <row r="36" spans="1:8" ht="15.75">
      <c r="A36" s="25" t="s">
        <v>207</v>
      </c>
      <c r="B36" s="25"/>
      <c r="C36" s="25"/>
      <c r="D36" s="14"/>
      <c r="E36" s="108">
        <v>221888</v>
      </c>
      <c r="F36" s="60"/>
      <c r="G36" s="14"/>
      <c r="H36" s="108">
        <v>221888</v>
      </c>
    </row>
    <row r="37" spans="1:8" ht="12.75">
      <c r="A37" s="25"/>
      <c r="B37" s="25"/>
      <c r="C37" s="25"/>
      <c r="D37" s="14"/>
      <c r="E37" s="24"/>
      <c r="F37" s="60"/>
      <c r="G37" s="14"/>
      <c r="H37" s="24"/>
    </row>
    <row r="38" spans="1:8" ht="13.5" thickBot="1">
      <c r="A38" s="26"/>
      <c r="B38" s="26"/>
      <c r="C38" s="25"/>
      <c r="D38" s="61"/>
      <c r="E38" s="107">
        <f>E32+E36+E34+E35+E33</f>
        <v>404530.67000000004</v>
      </c>
      <c r="F38" s="104"/>
      <c r="G38" s="112"/>
      <c r="H38" s="107">
        <f>SUM(H32:H36)</f>
        <v>432133</v>
      </c>
    </row>
    <row r="39" spans="3:8" ht="13.5" thickTop="1">
      <c r="C39" s="60"/>
      <c r="D39" s="60"/>
      <c r="E39" s="61"/>
      <c r="F39" s="60"/>
      <c r="G39" s="61"/>
      <c r="H39" s="61"/>
    </row>
    <row r="40" spans="3:8" ht="12.75">
      <c r="C40" s="60"/>
      <c r="D40" s="60"/>
      <c r="E40" s="146"/>
      <c r="F40" s="60"/>
      <c r="G40" s="60"/>
      <c r="H40" s="60"/>
    </row>
    <row r="41" spans="3:8" ht="12.75">
      <c r="C41" s="60"/>
      <c r="D41" s="146"/>
      <c r="E41" s="146"/>
      <c r="F41" s="60"/>
      <c r="G41" s="60"/>
      <c r="H41" s="60"/>
    </row>
    <row r="42" spans="5:8" ht="12.75">
      <c r="E42" s="60"/>
      <c r="F42" s="60"/>
      <c r="G42" s="60"/>
      <c r="H42" s="60"/>
    </row>
    <row r="43" spans="5:8" ht="12.75">
      <c r="E43" s="60"/>
      <c r="F43" s="60"/>
      <c r="G43" s="60"/>
      <c r="H43" s="60"/>
    </row>
    <row r="44" spans="5:8" ht="12.75">
      <c r="E44" s="60"/>
      <c r="F44" s="60"/>
      <c r="G44" s="60"/>
      <c r="H44" s="60"/>
    </row>
    <row r="45" spans="5:8" ht="12.75">
      <c r="E45" s="60"/>
      <c r="F45" s="60"/>
      <c r="G45" s="60"/>
      <c r="H45" s="60"/>
    </row>
  </sheetData>
  <sheetProtection/>
  <mergeCells count="8">
    <mergeCell ref="D6:E6"/>
    <mergeCell ref="D7:E7"/>
    <mergeCell ref="G6:H6"/>
    <mergeCell ref="G7:H7"/>
    <mergeCell ref="B1:H1"/>
    <mergeCell ref="B2:H2"/>
    <mergeCell ref="B3:H3"/>
    <mergeCell ref="B4:H4"/>
  </mergeCells>
  <printOptions/>
  <pageMargins left="0.7" right="0.7" top="0.75" bottom="0.75" header="0.3" footer="0.3"/>
  <pageSetup fitToHeight="1" fitToWidth="1" horizontalDpi="600" verticalDpi="600" orientation="portrait" paperSize="9" scale="94"/>
  <headerFooter alignWithMargins="0">
    <oddFooter>&amp;C&amp;P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4"/>
  <sheetViews>
    <sheetView view="pageLayout" workbookViewId="0" topLeftCell="A25">
      <selection activeCell="E20" sqref="E20"/>
    </sheetView>
  </sheetViews>
  <sheetFormatPr defaultColWidth="9.140625" defaultRowHeight="12.75"/>
  <cols>
    <col min="1" max="1" width="2.421875" style="2" customWidth="1"/>
    <col min="2" max="2" width="22.421875" style="2" customWidth="1"/>
    <col min="3" max="3" width="8.140625" style="2" customWidth="1"/>
    <col min="4" max="4" width="10.7109375" style="2" customWidth="1"/>
    <col min="5" max="5" width="10.8515625" style="2" customWidth="1"/>
    <col min="6" max="6" width="11.00390625" style="2" customWidth="1"/>
    <col min="7" max="8" width="10.421875" style="2" customWidth="1"/>
    <col min="9" max="9" width="9.140625" style="2" customWidth="1"/>
    <col min="10" max="11" width="9.140625" style="60" customWidth="1"/>
    <col min="12" max="12" width="36.8515625" style="60" bestFit="1" customWidth="1"/>
    <col min="13" max="13" width="10.00390625" style="60" bestFit="1" customWidth="1"/>
    <col min="14" max="16384" width="9.140625" style="2" customWidth="1"/>
  </cols>
  <sheetData>
    <row r="1" spans="1:14" ht="19.5">
      <c r="A1" s="18"/>
      <c r="B1" s="18"/>
      <c r="C1" s="181" t="s">
        <v>199</v>
      </c>
      <c r="D1" s="217"/>
      <c r="E1" s="217"/>
      <c r="F1" s="217"/>
      <c r="G1" s="217"/>
      <c r="H1" s="218"/>
      <c r="N1" s="2" t="s">
        <v>159</v>
      </c>
    </row>
    <row r="2" spans="1:8" ht="19.5">
      <c r="A2" s="16"/>
      <c r="B2" s="16"/>
      <c r="C2" s="185" t="s">
        <v>289</v>
      </c>
      <c r="D2" s="208"/>
      <c r="E2" s="208"/>
      <c r="F2" s="208"/>
      <c r="G2" s="208"/>
      <c r="H2" s="209"/>
    </row>
    <row r="3" spans="1:8" ht="5.25" customHeight="1">
      <c r="A3" s="16"/>
      <c r="B3" s="16"/>
      <c r="C3" s="189"/>
      <c r="D3" s="210"/>
      <c r="E3" s="210"/>
      <c r="F3" s="210"/>
      <c r="G3" s="210"/>
      <c r="H3" s="211"/>
    </row>
    <row r="4" spans="1:8" ht="26.25" customHeight="1" thickBot="1">
      <c r="A4" s="19"/>
      <c r="B4" s="19"/>
      <c r="C4" s="193" t="s">
        <v>178</v>
      </c>
      <c r="D4" s="212"/>
      <c r="E4" s="212"/>
      <c r="F4" s="212"/>
      <c r="G4" s="212"/>
      <c r="H4" s="213"/>
    </row>
    <row r="5" spans="1:12" ht="13.5" thickBot="1">
      <c r="A5" s="55"/>
      <c r="B5" s="35"/>
      <c r="D5" s="36"/>
      <c r="H5" s="6"/>
      <c r="L5" s="96"/>
    </row>
    <row r="6" spans="1:12" ht="13.5" customHeight="1" thickBot="1">
      <c r="A6" s="219" t="s">
        <v>193</v>
      </c>
      <c r="B6" s="220"/>
      <c r="C6" s="221"/>
      <c r="D6" s="221"/>
      <c r="E6" s="221"/>
      <c r="F6" s="56" t="s">
        <v>19</v>
      </c>
      <c r="G6" s="56" t="s">
        <v>7</v>
      </c>
      <c r="H6" s="54" t="s">
        <v>7</v>
      </c>
      <c r="L6" s="96"/>
    </row>
    <row r="7" spans="1:12" ht="12.75">
      <c r="A7" s="55"/>
      <c r="B7" s="35"/>
      <c r="D7" s="36"/>
      <c r="H7" s="6"/>
      <c r="L7" s="96"/>
    </row>
    <row r="8" spans="1:12" ht="12.75">
      <c r="A8" s="55"/>
      <c r="B8" s="35" t="s">
        <v>290</v>
      </c>
      <c r="D8" s="36"/>
      <c r="G8" s="109">
        <v>342162</v>
      </c>
      <c r="H8" s="6"/>
      <c r="L8" s="96"/>
    </row>
    <row r="9" spans="1:12" ht="12.75">
      <c r="A9" s="55"/>
      <c r="B9" s="35" t="s">
        <v>291</v>
      </c>
      <c r="D9" s="36"/>
      <c r="G9" s="109">
        <v>0</v>
      </c>
      <c r="H9" s="6"/>
      <c r="L9" s="96"/>
    </row>
    <row r="10" spans="1:12" ht="12.75">
      <c r="A10" s="55"/>
      <c r="B10" s="35" t="s">
        <v>292</v>
      </c>
      <c r="D10" s="36"/>
      <c r="G10" s="109">
        <v>2305</v>
      </c>
      <c r="H10" s="6"/>
      <c r="L10" s="96"/>
    </row>
    <row r="11" spans="1:12" ht="12.75">
      <c r="A11" s="55"/>
      <c r="B11" s="35" t="s">
        <v>293</v>
      </c>
      <c r="D11" s="36"/>
      <c r="G11" s="109">
        <v>14500</v>
      </c>
      <c r="H11" s="6"/>
      <c r="L11" s="96"/>
    </row>
    <row r="12" spans="1:12" ht="12.75">
      <c r="A12" s="55"/>
      <c r="B12" s="35"/>
      <c r="D12" s="36"/>
      <c r="G12" s="95"/>
      <c r="H12" s="6"/>
      <c r="L12" s="96"/>
    </row>
    <row r="13" spans="1:12" ht="13.5" thickBot="1">
      <c r="A13" s="55"/>
      <c r="B13" s="35"/>
      <c r="D13" s="36"/>
      <c r="H13" s="37">
        <f>SUM(G8:G11)</f>
        <v>358967</v>
      </c>
      <c r="L13" s="96"/>
    </row>
    <row r="14" spans="1:4" ht="6.75" customHeight="1" thickBot="1" thickTop="1">
      <c r="A14" s="30"/>
      <c r="B14" s="30"/>
      <c r="C14" s="30"/>
      <c r="D14" s="31"/>
    </row>
    <row r="15" spans="1:8" ht="13.5" thickBot="1">
      <c r="A15" s="219" t="s">
        <v>182</v>
      </c>
      <c r="B15" s="220"/>
      <c r="C15" s="221"/>
      <c r="D15" s="221"/>
      <c r="E15" s="221"/>
      <c r="F15" s="56" t="s">
        <v>19</v>
      </c>
      <c r="G15" s="56" t="s">
        <v>7</v>
      </c>
      <c r="H15" s="54" t="s">
        <v>7</v>
      </c>
    </row>
    <row r="16" spans="1:12" ht="6.75" customHeight="1">
      <c r="A16" s="33"/>
      <c r="B16" s="33"/>
      <c r="C16" s="30"/>
      <c r="D16" s="32"/>
      <c r="H16" s="34"/>
      <c r="L16" s="96"/>
    </row>
    <row r="17" spans="1:12" ht="12.75">
      <c r="A17" s="114" t="s">
        <v>257</v>
      </c>
      <c r="B17" s="113"/>
      <c r="C17" s="60"/>
      <c r="D17" s="36"/>
      <c r="E17" s="60"/>
      <c r="F17" s="60"/>
      <c r="G17" s="60"/>
      <c r="H17" s="61"/>
      <c r="L17" s="96"/>
    </row>
    <row r="18" spans="1:12" ht="12.75">
      <c r="A18" s="113" t="s">
        <v>29</v>
      </c>
      <c r="B18" s="113" t="s">
        <v>245</v>
      </c>
      <c r="C18" s="60"/>
      <c r="D18" s="36"/>
      <c r="E18" s="60"/>
      <c r="F18" s="60"/>
      <c r="G18" s="14"/>
      <c r="H18" s="61"/>
      <c r="L18" s="96"/>
    </row>
    <row r="19" spans="1:12" ht="12.75">
      <c r="A19" s="113" t="s">
        <v>29</v>
      </c>
      <c r="B19" s="113" t="s">
        <v>28</v>
      </c>
      <c r="C19" s="60"/>
      <c r="D19" s="60"/>
      <c r="E19" s="60"/>
      <c r="F19" s="60"/>
      <c r="G19" s="14">
        <v>2604</v>
      </c>
      <c r="H19" s="61"/>
      <c r="L19" s="96"/>
    </row>
    <row r="20" spans="1:12" ht="12.75">
      <c r="A20" s="113" t="s">
        <v>29</v>
      </c>
      <c r="B20" s="113" t="s">
        <v>246</v>
      </c>
      <c r="C20" s="60"/>
      <c r="D20" s="60"/>
      <c r="E20" s="60"/>
      <c r="F20" s="60"/>
      <c r="G20" s="14"/>
      <c r="H20" s="61"/>
      <c r="L20" s="96"/>
    </row>
    <row r="21" spans="1:12" ht="12.75">
      <c r="A21" s="113" t="s">
        <v>29</v>
      </c>
      <c r="B21" s="113" t="s">
        <v>230</v>
      </c>
      <c r="C21" s="60"/>
      <c r="D21" s="60"/>
      <c r="E21" s="60"/>
      <c r="F21" s="60"/>
      <c r="G21" s="14">
        <v>1050</v>
      </c>
      <c r="H21" s="126"/>
      <c r="L21" s="96"/>
    </row>
    <row r="22" spans="1:12" ht="12.75">
      <c r="A22" s="113" t="s">
        <v>29</v>
      </c>
      <c r="B22" s="113" t="s">
        <v>231</v>
      </c>
      <c r="C22" s="60"/>
      <c r="D22" s="60"/>
      <c r="E22" s="60"/>
      <c r="F22" s="60"/>
      <c r="G22" s="14">
        <v>450</v>
      </c>
      <c r="H22" s="126"/>
      <c r="L22" s="96"/>
    </row>
    <row r="23" spans="1:12" ht="13.5">
      <c r="A23" s="30" t="s">
        <v>29</v>
      </c>
      <c r="B23" s="53" t="s">
        <v>258</v>
      </c>
      <c r="C23" s="30"/>
      <c r="D23" s="60"/>
      <c r="E23" s="60"/>
      <c r="F23" s="60"/>
      <c r="G23" s="14">
        <v>710</v>
      </c>
      <c r="H23" s="61"/>
      <c r="L23" s="96"/>
    </row>
    <row r="24" spans="1:12" ht="12.75" customHeight="1">
      <c r="A24" s="30"/>
      <c r="B24" s="53"/>
      <c r="C24" s="30"/>
      <c r="D24" s="60"/>
      <c r="E24" s="60"/>
      <c r="F24" s="60"/>
      <c r="G24" s="13"/>
      <c r="H24" s="39"/>
      <c r="L24" s="96"/>
    </row>
    <row r="25" spans="1:12" ht="13.5" thickBot="1">
      <c r="A25" s="30"/>
      <c r="B25" s="53"/>
      <c r="C25" s="30"/>
      <c r="D25" s="60"/>
      <c r="E25" s="60"/>
      <c r="F25" s="60"/>
      <c r="G25" s="60"/>
      <c r="H25" s="98">
        <f>SUM(G18:G23)</f>
        <v>4814</v>
      </c>
      <c r="L25" s="96"/>
    </row>
    <row r="26" spans="1:12" ht="6.75" customHeight="1" thickBot="1" thickTop="1">
      <c r="A26" s="30"/>
      <c r="B26" s="53"/>
      <c r="C26" s="30"/>
      <c r="D26" s="60"/>
      <c r="E26" s="60"/>
      <c r="F26" s="60"/>
      <c r="G26" s="60"/>
      <c r="H26" s="39"/>
      <c r="L26" s="96"/>
    </row>
    <row r="27" spans="1:12" ht="13.5" customHeight="1" thickBot="1">
      <c r="A27" s="214" t="s">
        <v>183</v>
      </c>
      <c r="B27" s="215"/>
      <c r="C27" s="215"/>
      <c r="D27" s="215"/>
      <c r="E27" s="215"/>
      <c r="F27" s="116" t="s">
        <v>19</v>
      </c>
      <c r="G27" s="116" t="s">
        <v>7</v>
      </c>
      <c r="H27" s="117" t="s">
        <v>7</v>
      </c>
      <c r="L27" s="96"/>
    </row>
    <row r="28" spans="1:12" ht="6.75" customHeight="1">
      <c r="A28" s="38"/>
      <c r="B28" s="38"/>
      <c r="C28" s="60"/>
      <c r="D28" s="60"/>
      <c r="E28" s="60"/>
      <c r="F28" s="60"/>
      <c r="G28" s="60"/>
      <c r="H28" s="60"/>
      <c r="L28" s="96"/>
    </row>
    <row r="29" spans="1:13" ht="12.75">
      <c r="A29" s="114" t="s">
        <v>27</v>
      </c>
      <c r="B29" s="113"/>
      <c r="C29" s="60"/>
      <c r="D29" s="36"/>
      <c r="E29" s="60"/>
      <c r="F29" s="60"/>
      <c r="G29" s="60"/>
      <c r="H29" s="61"/>
      <c r="M29" s="96"/>
    </row>
    <row r="30" spans="1:13" ht="12.75">
      <c r="A30" s="113" t="s">
        <v>29</v>
      </c>
      <c r="B30" s="113" t="s">
        <v>76</v>
      </c>
      <c r="C30" s="60"/>
      <c r="D30" s="36"/>
      <c r="E30" s="60"/>
      <c r="F30" s="60"/>
      <c r="G30" s="61">
        <v>9320</v>
      </c>
      <c r="H30" s="61"/>
      <c r="L30" s="96"/>
      <c r="M30" s="96"/>
    </row>
    <row r="31" spans="1:13" ht="12.75">
      <c r="A31" s="113" t="s">
        <v>29</v>
      </c>
      <c r="B31" s="113" t="s">
        <v>198</v>
      </c>
      <c r="C31" s="60"/>
      <c r="D31" s="36"/>
      <c r="E31" s="60"/>
      <c r="F31" s="60"/>
      <c r="G31" s="126">
        <v>-2429</v>
      </c>
      <c r="H31" s="61">
        <f>G30+G31</f>
        <v>6891</v>
      </c>
      <c r="M31" s="96"/>
    </row>
    <row r="32" spans="1:13" ht="12.75">
      <c r="A32" s="114" t="s">
        <v>191</v>
      </c>
      <c r="B32" s="53"/>
      <c r="C32" s="30"/>
      <c r="D32" s="60"/>
      <c r="E32" s="60"/>
      <c r="F32" s="60"/>
      <c r="G32" s="61"/>
      <c r="H32" s="61"/>
      <c r="M32" s="96"/>
    </row>
    <row r="33" spans="1:13" ht="12.75">
      <c r="A33" s="113" t="s">
        <v>29</v>
      </c>
      <c r="B33" s="113" t="s">
        <v>76</v>
      </c>
      <c r="C33" s="30"/>
      <c r="D33" s="60"/>
      <c r="E33" s="60"/>
      <c r="F33" s="60"/>
      <c r="G33" s="61">
        <v>3262</v>
      </c>
      <c r="H33" s="61"/>
      <c r="L33" s="96"/>
      <c r="M33" s="96"/>
    </row>
    <row r="34" spans="1:13" ht="12.75">
      <c r="A34" s="113" t="s">
        <v>29</v>
      </c>
      <c r="B34" s="113" t="s">
        <v>170</v>
      </c>
      <c r="C34" s="30"/>
      <c r="D34" s="60"/>
      <c r="E34" s="60"/>
      <c r="F34" s="60"/>
      <c r="G34" s="91">
        <v>27.2</v>
      </c>
      <c r="H34" s="61">
        <f>SUM(G33:G34)</f>
        <v>3289.2</v>
      </c>
      <c r="L34" s="96"/>
      <c r="M34" s="96"/>
    </row>
    <row r="35" spans="1:12" ht="12.75">
      <c r="A35" s="114" t="s">
        <v>30</v>
      </c>
      <c r="B35" s="113"/>
      <c r="C35" s="60"/>
      <c r="D35" s="60"/>
      <c r="E35" s="60"/>
      <c r="F35" s="60"/>
      <c r="G35" s="61"/>
      <c r="H35" s="61"/>
      <c r="L35" s="96"/>
    </row>
    <row r="36" spans="1:12" ht="12.75">
      <c r="A36" s="113" t="s">
        <v>29</v>
      </c>
      <c r="B36" s="113" t="s">
        <v>170</v>
      </c>
      <c r="C36" s="30"/>
      <c r="D36" s="60"/>
      <c r="E36" s="60"/>
      <c r="F36" s="60"/>
      <c r="G36" s="91">
        <v>0</v>
      </c>
      <c r="H36" s="61">
        <f>G36</f>
        <v>0</v>
      </c>
      <c r="L36" s="96"/>
    </row>
    <row r="37" spans="1:12" ht="12.75">
      <c r="A37" s="114" t="s">
        <v>33</v>
      </c>
      <c r="B37" s="53"/>
      <c r="C37" s="30"/>
      <c r="D37" s="60"/>
      <c r="E37" s="60"/>
      <c r="F37" s="60"/>
      <c r="G37" s="14"/>
      <c r="H37" s="61"/>
      <c r="L37" s="96"/>
    </row>
    <row r="38" spans="1:12" ht="12.75">
      <c r="A38" s="113" t="s">
        <v>29</v>
      </c>
      <c r="B38" s="113" t="s">
        <v>76</v>
      </c>
      <c r="C38" s="30"/>
      <c r="D38" s="60"/>
      <c r="E38" s="60"/>
      <c r="F38" s="60"/>
      <c r="G38" s="60">
        <v>64498</v>
      </c>
      <c r="H38" s="14"/>
      <c r="L38" s="96"/>
    </row>
    <row r="39" spans="1:12" ht="13.5" customHeight="1">
      <c r="A39" s="113" t="s">
        <v>29</v>
      </c>
      <c r="B39" s="113" t="s">
        <v>170</v>
      </c>
      <c r="C39" s="30"/>
      <c r="D39" s="60"/>
      <c r="E39" s="60"/>
      <c r="F39" s="60"/>
      <c r="G39" s="61">
        <v>274</v>
      </c>
      <c r="H39" s="136">
        <f>G38+G39</f>
        <v>64772</v>
      </c>
      <c r="L39" s="96"/>
    </row>
    <row r="40" spans="1:12" ht="13.5" thickBot="1">
      <c r="A40" s="30"/>
      <c r="B40" s="53"/>
      <c r="C40" s="30"/>
      <c r="D40" s="60"/>
      <c r="E40" s="60"/>
      <c r="F40" s="60"/>
      <c r="G40" s="61"/>
      <c r="H40" s="37">
        <f>SUM(H30:H39)</f>
        <v>74952.2</v>
      </c>
      <c r="L40" s="96"/>
    </row>
    <row r="41" spans="1:12" ht="6.75" customHeight="1" thickBot="1" thickTop="1">
      <c r="A41" s="30"/>
      <c r="B41" s="30"/>
      <c r="C41" s="30"/>
      <c r="D41" s="60"/>
      <c r="E41" s="60"/>
      <c r="F41" s="60"/>
      <c r="G41" s="60"/>
      <c r="H41" s="60"/>
      <c r="L41" s="96"/>
    </row>
    <row r="42" spans="1:12" ht="13.5" customHeight="1" thickBot="1">
      <c r="A42" s="214" t="s">
        <v>184</v>
      </c>
      <c r="B42" s="215"/>
      <c r="C42" s="215"/>
      <c r="D42" s="215"/>
      <c r="E42" s="215"/>
      <c r="F42" s="116" t="s">
        <v>19</v>
      </c>
      <c r="G42" s="116" t="s">
        <v>7</v>
      </c>
      <c r="H42" s="117" t="s">
        <v>7</v>
      </c>
      <c r="L42" s="96"/>
    </row>
    <row r="43" spans="1:12" ht="12.75">
      <c r="A43" s="114" t="s">
        <v>2</v>
      </c>
      <c r="B43" s="113"/>
      <c r="C43" s="60"/>
      <c r="D43" s="36"/>
      <c r="E43" s="60"/>
      <c r="F43" s="60"/>
      <c r="G43" s="60"/>
      <c r="H43" s="61"/>
      <c r="L43" s="96"/>
    </row>
    <row r="44" spans="1:12" ht="12.75">
      <c r="A44" s="113" t="s">
        <v>29</v>
      </c>
      <c r="B44" s="113" t="s">
        <v>161</v>
      </c>
      <c r="C44" s="60"/>
      <c r="D44" s="36"/>
      <c r="E44" s="60"/>
      <c r="F44" s="60"/>
      <c r="G44" s="61">
        <v>5424</v>
      </c>
      <c r="H44" s="61"/>
      <c r="L44" s="96"/>
    </row>
    <row r="45" spans="1:8" ht="12.75">
      <c r="A45" s="113" t="s">
        <v>29</v>
      </c>
      <c r="B45" s="113" t="s">
        <v>171</v>
      </c>
      <c r="C45" s="60"/>
      <c r="D45" s="60"/>
      <c r="E45" s="60"/>
      <c r="F45" s="60"/>
      <c r="G45" s="61">
        <v>4900</v>
      </c>
      <c r="H45" s="61"/>
    </row>
    <row r="46" spans="1:8" ht="12.75" customHeight="1" hidden="1">
      <c r="A46" s="113" t="s">
        <v>29</v>
      </c>
      <c r="B46" s="113" t="s">
        <v>172</v>
      </c>
      <c r="C46" s="60"/>
      <c r="D46" s="60"/>
      <c r="E46" s="60"/>
      <c r="F46" s="60"/>
      <c r="G46" s="61">
        <v>0</v>
      </c>
      <c r="H46" s="61"/>
    </row>
    <row r="47" spans="1:8" ht="12.75" customHeight="1" hidden="1">
      <c r="A47" s="113" t="s">
        <v>29</v>
      </c>
      <c r="B47" s="113" t="s">
        <v>28</v>
      </c>
      <c r="C47" s="60"/>
      <c r="D47" s="60"/>
      <c r="E47" s="60"/>
      <c r="F47" s="60"/>
      <c r="G47" s="61">
        <v>0</v>
      </c>
      <c r="H47" s="61"/>
    </row>
    <row r="48" spans="1:8" ht="12.75" customHeight="1">
      <c r="A48" s="113" t="s">
        <v>29</v>
      </c>
      <c r="B48" s="113" t="s">
        <v>248</v>
      </c>
      <c r="C48" s="60"/>
      <c r="D48" s="60"/>
      <c r="E48" s="60"/>
      <c r="F48" s="60"/>
      <c r="G48" s="61">
        <v>1230</v>
      </c>
      <c r="H48" s="61"/>
    </row>
    <row r="49" spans="1:8" ht="12.75" customHeight="1">
      <c r="A49" s="113" t="s">
        <v>29</v>
      </c>
      <c r="B49" s="113" t="s">
        <v>214</v>
      </c>
      <c r="C49" s="60"/>
      <c r="D49" s="60"/>
      <c r="E49" s="60"/>
      <c r="F49" s="60"/>
      <c r="G49" s="61">
        <v>1475</v>
      </c>
      <c r="H49" s="61"/>
    </row>
    <row r="50" spans="1:8" ht="12.75" customHeight="1">
      <c r="A50" s="113" t="s">
        <v>29</v>
      </c>
      <c r="B50" s="113" t="s">
        <v>296</v>
      </c>
      <c r="C50" s="60"/>
      <c r="D50" s="60"/>
      <c r="E50" s="60"/>
      <c r="F50" s="60"/>
      <c r="G50" s="61">
        <v>48</v>
      </c>
      <c r="H50" s="61"/>
    </row>
    <row r="51" spans="1:8" ht="12.75">
      <c r="A51" s="114" t="s">
        <v>29</v>
      </c>
      <c r="B51" s="113" t="s">
        <v>297</v>
      </c>
      <c r="C51" s="60"/>
      <c r="D51" s="60"/>
      <c r="E51" s="60"/>
      <c r="F51" s="60"/>
      <c r="G51" s="61">
        <v>4433</v>
      </c>
      <c r="H51" s="61"/>
    </row>
    <row r="52" spans="1:12" ht="13.5" customHeight="1">
      <c r="A52" s="30" t="s">
        <v>29</v>
      </c>
      <c r="B52" s="53" t="s">
        <v>247</v>
      </c>
      <c r="C52" s="30"/>
      <c r="D52" s="60"/>
      <c r="E52" s="60"/>
      <c r="F52" s="60"/>
      <c r="G52" s="61">
        <v>229</v>
      </c>
      <c r="H52" s="61"/>
      <c r="L52" s="96"/>
    </row>
    <row r="53" spans="1:12" ht="13.5" customHeight="1">
      <c r="A53" s="53" t="s">
        <v>29</v>
      </c>
      <c r="B53" s="113" t="s">
        <v>294</v>
      </c>
      <c r="C53" s="30"/>
      <c r="D53" s="60"/>
      <c r="E53" s="60"/>
      <c r="F53" s="60"/>
      <c r="G53" s="61">
        <v>1000</v>
      </c>
      <c r="H53" s="61"/>
      <c r="L53" s="96"/>
    </row>
    <row r="54" spans="1:12" ht="13.5" customHeight="1">
      <c r="A54" s="158" t="s">
        <v>29</v>
      </c>
      <c r="B54" s="113" t="s">
        <v>295</v>
      </c>
      <c r="C54" s="30"/>
      <c r="D54" s="60"/>
      <c r="E54" s="60"/>
      <c r="F54" s="60"/>
      <c r="G54" s="61">
        <v>800</v>
      </c>
      <c r="H54" s="61"/>
      <c r="L54" s="96"/>
    </row>
    <row r="55" spans="1:12" ht="13.5" customHeight="1">
      <c r="A55" s="53" t="s">
        <v>29</v>
      </c>
      <c r="B55" s="113" t="s">
        <v>298</v>
      </c>
      <c r="C55" s="30"/>
      <c r="D55" s="60"/>
      <c r="E55" s="60"/>
      <c r="F55" s="60"/>
      <c r="G55" s="61">
        <v>310</v>
      </c>
      <c r="H55" s="61"/>
      <c r="L55" s="96"/>
    </row>
    <row r="56" spans="1:12" ht="19.5" customHeight="1" thickBot="1">
      <c r="A56" s="30"/>
      <c r="B56" s="53"/>
      <c r="C56" s="30"/>
      <c r="D56" s="60"/>
      <c r="E56" s="60"/>
      <c r="F56" s="60"/>
      <c r="G56" s="61"/>
      <c r="H56" s="37">
        <f>SUM(G44:G55)</f>
        <v>19849</v>
      </c>
      <c r="L56" s="96"/>
    </row>
    <row r="57" spans="1:12" ht="8.25" customHeight="1" thickTop="1">
      <c r="A57" s="60"/>
      <c r="B57" s="60"/>
      <c r="C57" s="60"/>
      <c r="D57" s="60"/>
      <c r="E57" s="60"/>
      <c r="F57" s="60"/>
      <c r="G57" s="61"/>
      <c r="H57" s="61" t="s">
        <v>159</v>
      </c>
      <c r="L57" s="96"/>
    </row>
    <row r="58" spans="1:8" ht="12.75">
      <c r="A58" s="201"/>
      <c r="B58" s="216"/>
      <c r="C58" s="216"/>
      <c r="D58" s="216"/>
      <c r="E58" s="216"/>
      <c r="F58" s="216"/>
      <c r="G58" s="216"/>
      <c r="H58" s="216"/>
    </row>
    <row r="59" spans="1:12" ht="12.75">
      <c r="A59" s="60"/>
      <c r="B59" s="60"/>
      <c r="C59" s="60"/>
      <c r="D59" s="60"/>
      <c r="E59" s="60"/>
      <c r="F59" s="60"/>
      <c r="G59" s="60"/>
      <c r="H59" s="60"/>
      <c r="L59" s="96"/>
    </row>
    <row r="60" spans="1:8" ht="12.75">
      <c r="A60" s="60"/>
      <c r="B60" s="60"/>
      <c r="C60" s="60"/>
      <c r="D60" s="60"/>
      <c r="E60" s="60"/>
      <c r="F60" s="60"/>
      <c r="G60" s="60"/>
      <c r="H60" s="60"/>
    </row>
    <row r="61" spans="1:8" ht="12.75">
      <c r="A61" s="60"/>
      <c r="B61" s="60"/>
      <c r="C61" s="60"/>
      <c r="D61" s="60"/>
      <c r="E61" s="60"/>
      <c r="F61" s="60"/>
      <c r="G61" s="60"/>
      <c r="H61" s="60"/>
    </row>
    <row r="62" spans="1:12" ht="12.75">
      <c r="A62" s="60"/>
      <c r="B62" s="60"/>
      <c r="C62" s="60"/>
      <c r="D62" s="60"/>
      <c r="E62" s="60"/>
      <c r="F62" s="60"/>
      <c r="G62" s="60"/>
      <c r="H62" s="60"/>
      <c r="L62" s="96"/>
    </row>
    <row r="63" spans="1:12" ht="12.75">
      <c r="A63" s="60"/>
      <c r="B63" s="60"/>
      <c r="C63" s="60"/>
      <c r="D63" s="60"/>
      <c r="E63" s="60"/>
      <c r="F63" s="60"/>
      <c r="G63" s="60"/>
      <c r="H63" s="60"/>
      <c r="L63" s="96"/>
    </row>
    <row r="64" spans="1:12" ht="12.75">
      <c r="A64" s="60"/>
      <c r="B64" s="60"/>
      <c r="C64" s="60"/>
      <c r="D64" s="60"/>
      <c r="E64" s="60"/>
      <c r="F64" s="60"/>
      <c r="G64" s="60"/>
      <c r="H64" s="60"/>
      <c r="L64" s="96"/>
    </row>
    <row r="65" spans="1:12" ht="12.75">
      <c r="A65" s="60"/>
      <c r="B65" s="60"/>
      <c r="C65" s="60"/>
      <c r="D65" s="60"/>
      <c r="E65" s="60"/>
      <c r="F65" s="60"/>
      <c r="G65" s="60"/>
      <c r="H65" s="60"/>
      <c r="L65" s="96"/>
    </row>
    <row r="66" spans="1:8" ht="12.75">
      <c r="A66" s="60"/>
      <c r="B66" s="60"/>
      <c r="C66" s="60"/>
      <c r="D66" s="60"/>
      <c r="E66" s="60"/>
      <c r="F66" s="60"/>
      <c r="G66" s="60"/>
      <c r="H66" s="60"/>
    </row>
    <row r="67" spans="1:8" ht="12.75">
      <c r="A67" s="60"/>
      <c r="B67" s="60"/>
      <c r="C67" s="60"/>
      <c r="D67" s="60"/>
      <c r="E67" s="60"/>
      <c r="F67" s="60"/>
      <c r="G67" s="60"/>
      <c r="H67" s="60"/>
    </row>
    <row r="68" spans="1:12" ht="12.75">
      <c r="A68" s="60"/>
      <c r="B68" s="60"/>
      <c r="C68" s="60"/>
      <c r="D68" s="60"/>
      <c r="E68" s="60"/>
      <c r="F68" s="60"/>
      <c r="G68" s="60"/>
      <c r="H68" s="60"/>
      <c r="L68" s="96"/>
    </row>
    <row r="69" spans="1:8" ht="12.75">
      <c r="A69" s="60"/>
      <c r="B69" s="60"/>
      <c r="C69" s="60"/>
      <c r="D69" s="60"/>
      <c r="E69" s="60"/>
      <c r="F69" s="60"/>
      <c r="G69" s="60"/>
      <c r="H69" s="60"/>
    </row>
    <row r="70" spans="1:12" ht="12.75">
      <c r="A70" s="60"/>
      <c r="B70" s="60"/>
      <c r="C70" s="60"/>
      <c r="D70" s="60"/>
      <c r="E70" s="60"/>
      <c r="F70" s="60"/>
      <c r="G70" s="60"/>
      <c r="H70" s="60"/>
      <c r="L70" s="96"/>
    </row>
    <row r="71" spans="1:8" ht="12.75">
      <c r="A71" s="60"/>
      <c r="B71" s="60"/>
      <c r="C71" s="60"/>
      <c r="D71" s="60"/>
      <c r="E71" s="60"/>
      <c r="F71" s="60"/>
      <c r="G71" s="60"/>
      <c r="H71" s="60"/>
    </row>
    <row r="72" spans="1:8" ht="12.75">
      <c r="A72" s="60"/>
      <c r="B72" s="60"/>
      <c r="C72" s="60"/>
      <c r="D72" s="60"/>
      <c r="E72" s="60"/>
      <c r="F72" s="60"/>
      <c r="G72" s="60"/>
      <c r="H72" s="60"/>
    </row>
    <row r="73" spans="1:8" ht="12.75">
      <c r="A73" s="60"/>
      <c r="B73" s="60"/>
      <c r="C73" s="60"/>
      <c r="D73" s="60"/>
      <c r="E73" s="60"/>
      <c r="F73" s="60"/>
      <c r="G73" s="60"/>
      <c r="H73" s="60"/>
    </row>
    <row r="74" spans="1:12" ht="12.75">
      <c r="A74" s="60"/>
      <c r="B74" s="60"/>
      <c r="C74" s="60"/>
      <c r="D74" s="60"/>
      <c r="E74" s="60"/>
      <c r="F74" s="60"/>
      <c r="G74" s="60"/>
      <c r="H74" s="60"/>
      <c r="L74" s="96"/>
    </row>
    <row r="75" spans="1:12" ht="12.75">
      <c r="A75" s="60"/>
      <c r="B75" s="60"/>
      <c r="C75" s="60"/>
      <c r="D75" s="60"/>
      <c r="E75" s="60"/>
      <c r="F75" s="60"/>
      <c r="G75" s="60"/>
      <c r="H75" s="60"/>
      <c r="L75" s="96"/>
    </row>
    <row r="76" spans="1:12" ht="12.75">
      <c r="A76" s="60"/>
      <c r="B76" s="60"/>
      <c r="C76" s="60"/>
      <c r="D76" s="60"/>
      <c r="E76" s="60"/>
      <c r="F76" s="60"/>
      <c r="G76" s="60"/>
      <c r="H76" s="60"/>
      <c r="L76" s="96"/>
    </row>
    <row r="77" spans="1:8" ht="12.75">
      <c r="A77" s="60"/>
      <c r="B77" s="60"/>
      <c r="C77" s="60"/>
      <c r="D77" s="60"/>
      <c r="E77" s="60"/>
      <c r="F77" s="60"/>
      <c r="G77" s="60"/>
      <c r="H77" s="60"/>
    </row>
    <row r="78" spans="1:8" ht="12.75">
      <c r="A78" s="60"/>
      <c r="B78" s="60"/>
      <c r="C78" s="60"/>
      <c r="D78" s="60"/>
      <c r="E78" s="60"/>
      <c r="F78" s="60"/>
      <c r="G78" s="60"/>
      <c r="H78" s="60"/>
    </row>
    <row r="79" spans="1:12" ht="12.75">
      <c r="A79" s="60"/>
      <c r="B79" s="60"/>
      <c r="C79" s="60"/>
      <c r="D79" s="60"/>
      <c r="E79" s="60"/>
      <c r="F79" s="60"/>
      <c r="G79" s="60"/>
      <c r="H79" s="60"/>
      <c r="L79" s="96"/>
    </row>
    <row r="80" spans="1:8" ht="12.75">
      <c r="A80" s="60"/>
      <c r="B80" s="60"/>
      <c r="C80" s="60"/>
      <c r="D80" s="60"/>
      <c r="E80" s="60"/>
      <c r="F80" s="60"/>
      <c r="G80" s="60"/>
      <c r="H80" s="60"/>
    </row>
    <row r="81" spans="1:8" ht="12.75">
      <c r="A81" s="60"/>
      <c r="B81" s="60"/>
      <c r="C81" s="60"/>
      <c r="D81" s="60"/>
      <c r="E81" s="60"/>
      <c r="F81" s="60"/>
      <c r="G81" s="60"/>
      <c r="H81" s="60"/>
    </row>
    <row r="82" spans="1:8" ht="12.75">
      <c r="A82" s="60"/>
      <c r="B82" s="60"/>
      <c r="C82" s="60"/>
      <c r="D82" s="60"/>
      <c r="E82" s="60"/>
      <c r="F82" s="60"/>
      <c r="G82" s="60"/>
      <c r="H82" s="60"/>
    </row>
    <row r="83" spans="1:8" ht="12.75">
      <c r="A83" s="60"/>
      <c r="B83" s="60"/>
      <c r="C83" s="60"/>
      <c r="D83" s="60"/>
      <c r="E83" s="60"/>
      <c r="F83" s="60"/>
      <c r="G83" s="60"/>
      <c r="H83" s="60"/>
    </row>
    <row r="84" spans="1:8" ht="12.75">
      <c r="A84" s="60"/>
      <c r="B84" s="60"/>
      <c r="C84" s="60"/>
      <c r="D84" s="60"/>
      <c r="E84" s="60"/>
      <c r="F84" s="60"/>
      <c r="G84" s="60"/>
      <c r="H84" s="60"/>
    </row>
  </sheetData>
  <sheetProtection/>
  <mergeCells count="9">
    <mergeCell ref="A42:E42"/>
    <mergeCell ref="A58:H58"/>
    <mergeCell ref="C1:H1"/>
    <mergeCell ref="C2:H2"/>
    <mergeCell ref="C3:H3"/>
    <mergeCell ref="C4:H4"/>
    <mergeCell ref="A15:E15"/>
    <mergeCell ref="A27:E27"/>
    <mergeCell ref="A6:E6"/>
  </mergeCells>
  <hyperlinks>
    <hyperlink ref="A3" location="'G1'!A1" display="'G1'!A1"/>
  </hyperlinks>
  <printOptions/>
  <pageMargins left="0.7" right="0.7" top="0.75" bottom="0.75" header="0.3" footer="0.3"/>
  <pageSetup fitToHeight="1" fitToWidth="1" horizontalDpi="600" verticalDpi="600" orientation="portrait" paperSize="9" scale="52"/>
  <headerFooter alignWithMargins="0">
    <oddFooter>&amp;C&amp;P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51"/>
  <sheetViews>
    <sheetView zoomScalePageLayoutView="0" workbookViewId="0" topLeftCell="A1">
      <selection activeCell="G17" sqref="G17"/>
    </sheetView>
  </sheetViews>
  <sheetFormatPr defaultColWidth="11.421875" defaultRowHeight="12.75"/>
  <cols>
    <col min="1" max="6" width="8.8515625" style="0" customWidth="1"/>
    <col min="7" max="7" width="10.7109375" style="0" bestFit="1" customWidth="1"/>
    <col min="8" max="16384" width="8.8515625" style="0" customWidth="1"/>
  </cols>
  <sheetData>
    <row r="1" spans="1:14" s="2" customFormat="1" ht="19.5">
      <c r="A1" s="18"/>
      <c r="B1" s="18"/>
      <c r="C1" s="181" t="s">
        <v>199</v>
      </c>
      <c r="D1" s="217"/>
      <c r="E1" s="217"/>
      <c r="F1" s="217"/>
      <c r="G1" s="217"/>
      <c r="H1" s="218"/>
      <c r="J1" s="60"/>
      <c r="K1" s="60"/>
      <c r="L1" s="60"/>
      <c r="M1" s="60"/>
      <c r="N1" s="2" t="s">
        <v>159</v>
      </c>
    </row>
    <row r="2" spans="1:13" s="2" customFormat="1" ht="19.5">
      <c r="A2" s="16"/>
      <c r="B2" s="16"/>
      <c r="C2" s="185" t="s">
        <v>299</v>
      </c>
      <c r="D2" s="208"/>
      <c r="E2" s="208"/>
      <c r="F2" s="208"/>
      <c r="G2" s="208"/>
      <c r="H2" s="209"/>
      <c r="J2" s="60"/>
      <c r="K2" s="60"/>
      <c r="L2" s="60"/>
      <c r="M2" s="60"/>
    </row>
    <row r="3" spans="1:13" s="2" customFormat="1" ht="5.25" customHeight="1">
      <c r="A3" s="16"/>
      <c r="B3" s="16"/>
      <c r="C3" s="189"/>
      <c r="D3" s="210"/>
      <c r="E3" s="210"/>
      <c r="F3" s="210"/>
      <c r="G3" s="210"/>
      <c r="H3" s="211"/>
      <c r="J3" s="60"/>
      <c r="K3" s="60"/>
      <c r="L3" s="60"/>
      <c r="M3" s="60"/>
    </row>
    <row r="4" spans="1:13" s="2" customFormat="1" ht="26.25" customHeight="1" thickBot="1">
      <c r="A4" s="19"/>
      <c r="B4" s="19"/>
      <c r="C4" s="193" t="s">
        <v>267</v>
      </c>
      <c r="D4" s="212"/>
      <c r="E4" s="212"/>
      <c r="F4" s="212"/>
      <c r="G4" s="212"/>
      <c r="H4" s="213"/>
      <c r="J4" s="60"/>
      <c r="K4" s="60"/>
      <c r="L4" s="60"/>
      <c r="M4" s="60"/>
    </row>
    <row r="8" spans="2:3" ht="12.75">
      <c r="B8" s="1" t="s">
        <v>268</v>
      </c>
      <c r="C8" s="1"/>
    </row>
    <row r="9" ht="12.75">
      <c r="G9" s="160" t="s">
        <v>7</v>
      </c>
    </row>
    <row r="10" spans="2:7" ht="12.75">
      <c r="B10" t="s">
        <v>269</v>
      </c>
      <c r="G10" s="163">
        <v>14649</v>
      </c>
    </row>
    <row r="11" spans="2:7" ht="12.75">
      <c r="B11" s="162" t="s">
        <v>276</v>
      </c>
      <c r="G11" s="163">
        <v>783455</v>
      </c>
    </row>
    <row r="12" spans="2:7" ht="12.75">
      <c r="B12" t="s">
        <v>271</v>
      </c>
      <c r="G12" s="163">
        <v>-788785</v>
      </c>
    </row>
    <row r="13" spans="2:7" ht="13.5" thickBot="1">
      <c r="B13" t="s">
        <v>272</v>
      </c>
      <c r="G13" s="164">
        <f>G10+G11+G12</f>
        <v>9319</v>
      </c>
    </row>
    <row r="14" ht="13.5" thickTop="1">
      <c r="G14" s="163"/>
    </row>
    <row r="15" ht="12.75">
      <c r="G15" s="163"/>
    </row>
    <row r="16" spans="2:7" ht="13.5" thickBot="1">
      <c r="B16" t="s">
        <v>300</v>
      </c>
      <c r="G16" s="164">
        <v>9319</v>
      </c>
    </row>
    <row r="17" ht="13.5" thickTop="1">
      <c r="G17" s="163" t="s">
        <v>159</v>
      </c>
    </row>
    <row r="18" ht="12.75">
      <c r="G18" s="159"/>
    </row>
    <row r="19" spans="2:7" ht="12.75">
      <c r="B19" s="1" t="s">
        <v>273</v>
      </c>
      <c r="G19" s="159"/>
    </row>
    <row r="20" ht="12.75">
      <c r="G20" s="64" t="s">
        <v>7</v>
      </c>
    </row>
    <row r="21" spans="2:7" ht="12.75">
      <c r="B21" s="162" t="s">
        <v>269</v>
      </c>
      <c r="G21" s="163">
        <v>1151</v>
      </c>
    </row>
    <row r="22" spans="2:7" ht="12.75">
      <c r="B22" s="162" t="s">
        <v>276</v>
      </c>
      <c r="G22" s="163">
        <v>1279</v>
      </c>
    </row>
    <row r="23" spans="2:7" ht="12.75">
      <c r="B23" s="162" t="s">
        <v>270</v>
      </c>
      <c r="G23" s="163">
        <v>-1169</v>
      </c>
    </row>
    <row r="24" spans="2:7" ht="13.5" thickBot="1">
      <c r="B24" s="162" t="s">
        <v>272</v>
      </c>
      <c r="G24" s="164">
        <f>G21+G22+G23</f>
        <v>1261</v>
      </c>
    </row>
    <row r="25" ht="13.5" thickTop="1">
      <c r="G25" s="163"/>
    </row>
    <row r="26" ht="12.75">
      <c r="G26" s="163"/>
    </row>
    <row r="27" spans="2:7" ht="13.5" thickBot="1">
      <c r="B27" s="162" t="s">
        <v>300</v>
      </c>
      <c r="G27" s="164">
        <v>1261</v>
      </c>
    </row>
    <row r="28" ht="13.5" thickTop="1">
      <c r="G28" s="163"/>
    </row>
    <row r="29" ht="12.75">
      <c r="G29" s="163"/>
    </row>
    <row r="30" spans="2:7" ht="12.75">
      <c r="B30" s="1" t="s">
        <v>274</v>
      </c>
      <c r="G30" s="163"/>
    </row>
    <row r="31" ht="12.75">
      <c r="G31" s="165" t="s">
        <v>7</v>
      </c>
    </row>
    <row r="32" spans="2:7" ht="12.75">
      <c r="B32" s="162" t="s">
        <v>275</v>
      </c>
      <c r="G32" s="163">
        <v>3547</v>
      </c>
    </row>
    <row r="33" spans="2:7" ht="12.75">
      <c r="B33" s="162" t="s">
        <v>276</v>
      </c>
      <c r="G33" s="163">
        <v>3763</v>
      </c>
    </row>
    <row r="34" spans="2:7" ht="12.75">
      <c r="B34" s="162" t="s">
        <v>277</v>
      </c>
      <c r="G34" s="163">
        <v>-5311.09</v>
      </c>
    </row>
    <row r="35" spans="2:7" ht="13.5" thickBot="1">
      <c r="B35" s="162" t="s">
        <v>278</v>
      </c>
      <c r="G35" s="164">
        <f>G32+G33+G34</f>
        <v>1998.9099999999999</v>
      </c>
    </row>
    <row r="36" ht="13.5" thickTop="1">
      <c r="G36" s="163"/>
    </row>
    <row r="37" ht="12.75">
      <c r="G37" s="163"/>
    </row>
    <row r="38" spans="2:7" ht="13.5" thickBot="1">
      <c r="B38" s="162" t="s">
        <v>301</v>
      </c>
      <c r="G38" s="164">
        <v>1999</v>
      </c>
    </row>
    <row r="39" ht="13.5" thickTop="1">
      <c r="G39" s="163"/>
    </row>
    <row r="41" ht="12.75">
      <c r="B41" s="1" t="s">
        <v>279</v>
      </c>
    </row>
    <row r="42" ht="12.75">
      <c r="G42" s="64" t="s">
        <v>7</v>
      </c>
    </row>
    <row r="43" spans="2:7" ht="12.75">
      <c r="B43" s="162" t="s">
        <v>275</v>
      </c>
      <c r="G43" s="159">
        <v>53932</v>
      </c>
    </row>
    <row r="44" spans="2:7" ht="12.75">
      <c r="B44" s="162" t="s">
        <v>280</v>
      </c>
      <c r="G44" s="159">
        <v>71855</v>
      </c>
    </row>
    <row r="45" spans="2:7" ht="12.75">
      <c r="B45" s="162" t="s">
        <v>281</v>
      </c>
      <c r="G45" s="159">
        <v>-61290</v>
      </c>
    </row>
    <row r="46" spans="2:7" ht="13.5" thickBot="1">
      <c r="B46" s="162" t="s">
        <v>278</v>
      </c>
      <c r="G46" s="161">
        <f>G43+G44+G45</f>
        <v>64497</v>
      </c>
    </row>
    <row r="47" ht="13.5" thickTop="1">
      <c r="G47" s="159"/>
    </row>
    <row r="48" ht="12.75">
      <c r="G48" s="159"/>
    </row>
    <row r="49" spans="2:7" ht="13.5" thickBot="1">
      <c r="B49" s="162" t="s">
        <v>302</v>
      </c>
      <c r="G49" s="161">
        <v>64497</v>
      </c>
    </row>
    <row r="50" ht="13.5" thickTop="1">
      <c r="G50" s="159"/>
    </row>
    <row r="51" ht="12.75">
      <c r="G51" s="159"/>
    </row>
  </sheetData>
  <sheetProtection/>
  <mergeCells count="4">
    <mergeCell ref="C1:H1"/>
    <mergeCell ref="C2:H2"/>
    <mergeCell ref="C3:H3"/>
    <mergeCell ref="C4:H4"/>
  </mergeCells>
  <hyperlinks>
    <hyperlink ref="A3" location="'G1'!A1" display="'G1'!A1"/>
  </hyperlinks>
  <printOptions/>
  <pageMargins left="0.7" right="0.7" top="0.75" bottom="0.75" header="0.3" footer="0.3"/>
  <pageSetup horizontalDpi="600" verticalDpi="600"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Q34"/>
  <sheetViews>
    <sheetView zoomScalePageLayoutView="0" workbookViewId="0" topLeftCell="A25">
      <selection activeCell="S19" sqref="S19"/>
    </sheetView>
  </sheetViews>
  <sheetFormatPr defaultColWidth="11.421875" defaultRowHeight="12.75"/>
  <cols>
    <col min="1" max="1" width="21.421875" style="0" customWidth="1"/>
    <col min="2" max="7" width="6.421875" style="0" customWidth="1"/>
    <col min="8" max="8" width="7.8515625" style="0" customWidth="1"/>
    <col min="9" max="9" width="1.7109375" style="0" customWidth="1"/>
    <col min="10" max="10" width="8.8515625" style="0" customWidth="1"/>
    <col min="11" max="11" width="4.8515625" style="0" customWidth="1"/>
    <col min="12" max="15" width="8.8515625" style="0" customWidth="1"/>
    <col min="16" max="16" width="1.421875" style="0" customWidth="1"/>
    <col min="17" max="16384" width="8.8515625" style="0" customWidth="1"/>
  </cols>
  <sheetData>
    <row r="2" ht="12.75">
      <c r="A2" t="s">
        <v>54</v>
      </c>
    </row>
    <row r="4" spans="2:17" ht="12.75">
      <c r="B4" t="s">
        <v>55</v>
      </c>
      <c r="C4" t="s">
        <v>56</v>
      </c>
      <c r="D4" t="s">
        <v>57</v>
      </c>
      <c r="E4" t="s">
        <v>58</v>
      </c>
      <c r="F4" t="s">
        <v>59</v>
      </c>
      <c r="G4" t="s">
        <v>60</v>
      </c>
      <c r="H4" t="s">
        <v>74</v>
      </c>
      <c r="J4" t="s">
        <v>6</v>
      </c>
      <c r="L4" t="s">
        <v>155</v>
      </c>
      <c r="M4" t="s">
        <v>156</v>
      </c>
      <c r="N4" t="s">
        <v>157</v>
      </c>
      <c r="O4" t="s">
        <v>74</v>
      </c>
      <c r="Q4" t="s">
        <v>6</v>
      </c>
    </row>
    <row r="6" spans="1:17" ht="12.75">
      <c r="A6" t="s">
        <v>53</v>
      </c>
      <c r="B6" s="57">
        <v>135</v>
      </c>
      <c r="C6" s="57">
        <v>130</v>
      </c>
      <c r="D6" s="57">
        <v>30</v>
      </c>
      <c r="E6" s="57">
        <v>45</v>
      </c>
      <c r="F6" s="57">
        <v>195</v>
      </c>
      <c r="G6" s="57">
        <v>35</v>
      </c>
      <c r="H6" s="57"/>
      <c r="J6" s="58">
        <f>SUM(B6:H6)</f>
        <v>570</v>
      </c>
      <c r="L6" s="57">
        <v>40</v>
      </c>
      <c r="M6" s="57">
        <v>50</v>
      </c>
      <c r="N6" s="57">
        <v>40</v>
      </c>
      <c r="O6" s="57"/>
      <c r="Q6" s="58">
        <f>SUM(L6:O6)</f>
        <v>130</v>
      </c>
    </row>
    <row r="7" spans="1:17" ht="12.75">
      <c r="A7" t="s">
        <v>38</v>
      </c>
      <c r="B7" s="57">
        <v>1233.9</v>
      </c>
      <c r="C7" s="57">
        <v>718.1</v>
      </c>
      <c r="D7" s="57">
        <v>1939.7</v>
      </c>
      <c r="E7" s="57">
        <v>1000.4</v>
      </c>
      <c r="F7" s="57">
        <v>934.2</v>
      </c>
      <c r="G7" s="57">
        <v>714.5</v>
      </c>
      <c r="H7" s="57"/>
      <c r="J7" s="58">
        <f>SUM(B7:H7)</f>
        <v>6540.799999999999</v>
      </c>
      <c r="L7" s="57">
        <v>759</v>
      </c>
      <c r="M7" s="57">
        <v>505</v>
      </c>
      <c r="N7" s="57">
        <v>1187</v>
      </c>
      <c r="O7" s="57"/>
      <c r="Q7" s="58">
        <f>SUM(L7:O7)</f>
        <v>2451</v>
      </c>
    </row>
    <row r="8" spans="1:17" ht="12.75">
      <c r="A8" t="s">
        <v>70</v>
      </c>
      <c r="B8" s="57"/>
      <c r="C8" s="57"/>
      <c r="D8" s="57"/>
      <c r="E8" s="57">
        <v>40</v>
      </c>
      <c r="F8" s="57">
        <v>180</v>
      </c>
      <c r="G8" s="57"/>
      <c r="H8" s="57"/>
      <c r="J8" s="58">
        <f>SUM(B8:H8)</f>
        <v>220</v>
      </c>
      <c r="L8" s="57"/>
      <c r="M8" s="57"/>
      <c r="N8" s="57"/>
      <c r="O8" s="57"/>
      <c r="Q8" s="58">
        <f>SUM(L8:O8)</f>
        <v>0</v>
      </c>
    </row>
    <row r="9" spans="1:17" ht="12.75">
      <c r="A9" t="s">
        <v>72</v>
      </c>
      <c r="B9" s="57"/>
      <c r="C9" s="57"/>
      <c r="D9" s="57"/>
      <c r="E9" s="57">
        <v>113.44</v>
      </c>
      <c r="F9" s="57">
        <v>6949</v>
      </c>
      <c r="G9" s="57">
        <v>10500</v>
      </c>
      <c r="H9" s="57">
        <f>-6949-5250</f>
        <v>-12199</v>
      </c>
      <c r="J9" s="58">
        <f>SUM(B9:H9)</f>
        <v>5363.439999999999</v>
      </c>
      <c r="L9" s="57">
        <v>270</v>
      </c>
      <c r="M9" s="57">
        <v>5950</v>
      </c>
      <c r="N9" s="57">
        <v>553</v>
      </c>
      <c r="O9" s="57">
        <v>-5500</v>
      </c>
      <c r="Q9" s="58">
        <f>SUM(L9:O9)</f>
        <v>1273</v>
      </c>
    </row>
    <row r="10" spans="2:15" ht="12.75">
      <c r="B10" s="57"/>
      <c r="C10" s="57"/>
      <c r="D10" s="57"/>
      <c r="E10" s="57"/>
      <c r="F10" s="57"/>
      <c r="G10" s="57"/>
      <c r="H10" s="57"/>
      <c r="L10" s="57"/>
      <c r="M10" s="57"/>
      <c r="N10" s="57"/>
      <c r="O10" s="57"/>
    </row>
    <row r="11" spans="1:17" ht="12.75">
      <c r="A11" t="s">
        <v>67</v>
      </c>
      <c r="B11" s="57">
        <f>SUM(B6:B9)</f>
        <v>1368.9</v>
      </c>
      <c r="C11" s="57">
        <f aca="true" t="shared" si="0" ref="C11:I11">SUM(C6:C9)</f>
        <v>848.1</v>
      </c>
      <c r="D11" s="57">
        <f t="shared" si="0"/>
        <v>1969.7</v>
      </c>
      <c r="E11" s="57">
        <f t="shared" si="0"/>
        <v>1198.8400000000001</v>
      </c>
      <c r="F11" s="57">
        <f t="shared" si="0"/>
        <v>8258.2</v>
      </c>
      <c r="G11" s="57">
        <f t="shared" si="0"/>
        <v>11249.5</v>
      </c>
      <c r="H11" s="57">
        <f t="shared" si="0"/>
        <v>-12199</v>
      </c>
      <c r="I11" s="57">
        <f t="shared" si="0"/>
        <v>0</v>
      </c>
      <c r="J11" s="57">
        <f>SUM(J6:J9)</f>
        <v>12694.239999999998</v>
      </c>
      <c r="L11" s="57">
        <f>SUM(L6:L9)</f>
        <v>1069</v>
      </c>
      <c r="M11" s="57">
        <f>SUM(M6:M9)</f>
        <v>6505</v>
      </c>
      <c r="N11" s="57">
        <f>SUM(N6:N9)</f>
        <v>1780</v>
      </c>
      <c r="O11" s="57">
        <f>SUM(O6:O9)</f>
        <v>-5500</v>
      </c>
      <c r="Q11" s="57">
        <f>SUM(Q6:Q9)</f>
        <v>3854</v>
      </c>
    </row>
    <row r="12" spans="2:15" ht="12.75">
      <c r="B12" s="57"/>
      <c r="C12" s="57"/>
      <c r="D12" s="57"/>
      <c r="E12" s="57"/>
      <c r="F12" s="57"/>
      <c r="G12" s="57"/>
      <c r="H12" s="57"/>
      <c r="L12" s="57"/>
      <c r="M12" s="57"/>
      <c r="N12" s="57"/>
      <c r="O12" s="57"/>
    </row>
    <row r="13" spans="2:15" ht="12.75">
      <c r="B13" s="57"/>
      <c r="C13" s="57"/>
      <c r="D13" s="57"/>
      <c r="E13" s="57"/>
      <c r="F13" s="57"/>
      <c r="G13" s="57"/>
      <c r="H13" s="57"/>
      <c r="L13" s="57"/>
      <c r="M13" s="57"/>
      <c r="N13" s="57"/>
      <c r="O13" s="57"/>
    </row>
    <row r="14" spans="2:15" ht="12.75">
      <c r="B14" s="57"/>
      <c r="C14" s="57"/>
      <c r="D14" s="57"/>
      <c r="E14" s="57"/>
      <c r="F14" s="57"/>
      <c r="G14" s="57"/>
      <c r="H14" s="57"/>
      <c r="L14" s="57"/>
      <c r="M14" s="57"/>
      <c r="N14" s="57"/>
      <c r="O14" s="57"/>
    </row>
    <row r="15" spans="1:17" ht="12.75">
      <c r="A15" t="s">
        <v>71</v>
      </c>
      <c r="B15" s="57">
        <v>0</v>
      </c>
      <c r="C15" s="57">
        <v>829.04</v>
      </c>
      <c r="D15" s="57">
        <v>0</v>
      </c>
      <c r="E15" s="57">
        <v>492</v>
      </c>
      <c r="F15" s="57">
        <v>249.89</v>
      </c>
      <c r="G15" s="57">
        <v>672.9</v>
      </c>
      <c r="H15" s="57"/>
      <c r="J15" s="58">
        <f aca="true" t="shared" si="1" ref="J15:J32">SUM(B15:H15)</f>
        <v>2243.83</v>
      </c>
      <c r="L15" s="57">
        <f>1133</f>
        <v>1133</v>
      </c>
      <c r="M15" s="57">
        <f>772</f>
        <v>772</v>
      </c>
      <c r="N15" s="57"/>
      <c r="O15" s="57"/>
      <c r="Q15" s="58">
        <f>SUM(L15:O15)</f>
        <v>1905</v>
      </c>
    </row>
    <row r="16" spans="1:17" ht="12.75">
      <c r="A16" t="s">
        <v>48</v>
      </c>
      <c r="B16" s="57">
        <v>40</v>
      </c>
      <c r="C16" s="57">
        <v>20</v>
      </c>
      <c r="D16" s="57">
        <v>0</v>
      </c>
      <c r="E16" s="57"/>
      <c r="F16" s="57"/>
      <c r="G16" s="57"/>
      <c r="H16" s="57"/>
      <c r="J16" s="58">
        <f t="shared" si="1"/>
        <v>60</v>
      </c>
      <c r="L16" s="57"/>
      <c r="M16" s="57">
        <v>40</v>
      </c>
      <c r="N16" s="57"/>
      <c r="O16" s="57"/>
      <c r="Q16" s="58">
        <f aca="true" t="shared" si="2" ref="Q16:Q29">SUM(L16:O16)</f>
        <v>40</v>
      </c>
    </row>
    <row r="17" spans="1:17" ht="12.75">
      <c r="A17" t="s">
        <v>36</v>
      </c>
      <c r="B17" s="57">
        <v>275</v>
      </c>
      <c r="C17" s="57">
        <f>40</f>
        <v>40</v>
      </c>
      <c r="D17" s="57">
        <v>255</v>
      </c>
      <c r="E17" s="57">
        <f>30</f>
        <v>30</v>
      </c>
      <c r="F17" s="57">
        <f>101.6</f>
        <v>101.6</v>
      </c>
      <c r="G17" s="57">
        <f>25+79.95</f>
        <v>104.95</v>
      </c>
      <c r="H17" s="57"/>
      <c r="J17" s="59">
        <f t="shared" si="1"/>
        <v>806.5500000000001</v>
      </c>
      <c r="L17" s="57">
        <v>7</v>
      </c>
      <c r="M17" s="57"/>
      <c r="N17" s="57"/>
      <c r="O17" s="57"/>
      <c r="Q17" s="58">
        <f t="shared" si="2"/>
        <v>7</v>
      </c>
    </row>
    <row r="18" spans="1:17" ht="12.75">
      <c r="A18" t="s">
        <v>31</v>
      </c>
      <c r="B18" s="57"/>
      <c r="C18" s="57">
        <v>750</v>
      </c>
      <c r="D18" s="57">
        <v>1966.25</v>
      </c>
      <c r="E18" s="57"/>
      <c r="F18" s="57">
        <f>750+2571.25</f>
        <v>3321.25</v>
      </c>
      <c r="G18" s="57">
        <v>1966.25</v>
      </c>
      <c r="H18" s="57"/>
      <c r="J18" s="59">
        <f t="shared" si="1"/>
        <v>8003.75</v>
      </c>
      <c r="L18" s="57">
        <f>750+2571</f>
        <v>3321</v>
      </c>
      <c r="M18" s="57">
        <f>1966</f>
        <v>1966</v>
      </c>
      <c r="N18" s="57"/>
      <c r="O18" s="57">
        <v>-2751</v>
      </c>
      <c r="Q18" s="58">
        <f t="shared" si="2"/>
        <v>2536</v>
      </c>
    </row>
    <row r="19" spans="1:17" ht="12.75">
      <c r="A19" t="s">
        <v>35</v>
      </c>
      <c r="B19" s="57"/>
      <c r="C19" s="57">
        <f>51.78+155.74</f>
        <v>207.52</v>
      </c>
      <c r="D19" s="57">
        <f>95.6+371.66</f>
        <v>467.26</v>
      </c>
      <c r="E19" s="57"/>
      <c r="F19" s="57">
        <f>45.83+158.62</f>
        <v>204.45</v>
      </c>
      <c r="G19" s="57">
        <f>65.89+194.18</f>
        <v>260.07</v>
      </c>
      <c r="H19" s="57"/>
      <c r="J19" s="59">
        <f t="shared" si="1"/>
        <v>1139.3</v>
      </c>
      <c r="L19" s="57">
        <f>45+120</f>
        <v>165</v>
      </c>
      <c r="M19" s="57">
        <f>45+209</f>
        <v>254</v>
      </c>
      <c r="N19" s="57"/>
      <c r="O19" s="57"/>
      <c r="Q19" s="58">
        <f t="shared" si="2"/>
        <v>419</v>
      </c>
    </row>
    <row r="20" spans="1:17" ht="12.75">
      <c r="A20" t="s">
        <v>34</v>
      </c>
      <c r="B20" s="57">
        <v>0</v>
      </c>
      <c r="C20" s="57">
        <f>110.11+395.6</f>
        <v>505.71000000000004</v>
      </c>
      <c r="D20" s="57">
        <v>0</v>
      </c>
      <c r="E20" s="57">
        <f>253.51+458.44</f>
        <v>711.95</v>
      </c>
      <c r="F20" s="57">
        <f>144.7</f>
        <v>144.7</v>
      </c>
      <c r="G20" s="57">
        <f>414.77</f>
        <v>414.77</v>
      </c>
      <c r="H20" s="57"/>
      <c r="J20" s="59">
        <f t="shared" si="1"/>
        <v>1777.13</v>
      </c>
      <c r="L20" s="57"/>
      <c r="M20" s="57">
        <f>85+279</f>
        <v>364</v>
      </c>
      <c r="N20" s="57"/>
      <c r="O20" s="57"/>
      <c r="Q20" s="58">
        <f t="shared" si="2"/>
        <v>364</v>
      </c>
    </row>
    <row r="21" spans="1:17" ht="12.75">
      <c r="A21" t="s">
        <v>61</v>
      </c>
      <c r="B21" s="57">
        <v>10.3</v>
      </c>
      <c r="C21" s="57">
        <v>27.9</v>
      </c>
      <c r="D21" s="57">
        <v>31.3</v>
      </c>
      <c r="E21" s="57">
        <v>22.3</v>
      </c>
      <c r="F21" s="57"/>
      <c r="G21" s="57"/>
      <c r="H21" s="57"/>
      <c r="J21" s="58">
        <f t="shared" si="1"/>
        <v>91.8</v>
      </c>
      <c r="L21" s="57">
        <v>150</v>
      </c>
      <c r="M21" s="57"/>
      <c r="N21" s="57"/>
      <c r="O21" s="57"/>
      <c r="Q21" s="58">
        <f t="shared" si="2"/>
        <v>150</v>
      </c>
    </row>
    <row r="22" spans="1:17" ht="12.75">
      <c r="A22" t="s">
        <v>38</v>
      </c>
      <c r="B22" s="57"/>
      <c r="C22" s="57"/>
      <c r="D22" s="57">
        <v>20</v>
      </c>
      <c r="E22" s="57"/>
      <c r="F22" s="57"/>
      <c r="G22" s="57"/>
      <c r="H22" s="57"/>
      <c r="J22" s="58">
        <f t="shared" si="1"/>
        <v>20</v>
      </c>
      <c r="L22" s="57" t="s">
        <v>159</v>
      </c>
      <c r="M22" s="57"/>
      <c r="N22" s="57"/>
      <c r="O22" s="57"/>
      <c r="Q22" s="58">
        <f t="shared" si="2"/>
        <v>0</v>
      </c>
    </row>
    <row r="23" spans="1:17" ht="12.75">
      <c r="A23" t="s">
        <v>28</v>
      </c>
      <c r="B23" s="57">
        <v>778.19</v>
      </c>
      <c r="C23" s="57">
        <v>778.19</v>
      </c>
      <c r="D23" s="57">
        <v>778.19</v>
      </c>
      <c r="E23" s="57">
        <v>778.19</v>
      </c>
      <c r="F23" s="57">
        <v>778.19</v>
      </c>
      <c r="G23" s="57">
        <v>778.19</v>
      </c>
      <c r="H23" s="57"/>
      <c r="J23" s="58">
        <f t="shared" si="1"/>
        <v>4669.14</v>
      </c>
      <c r="L23" s="57">
        <v>778</v>
      </c>
      <c r="M23" s="57"/>
      <c r="N23" s="57">
        <v>817</v>
      </c>
      <c r="O23" s="57"/>
      <c r="Q23" s="58">
        <f t="shared" si="2"/>
        <v>1595</v>
      </c>
    </row>
    <row r="24" spans="1:17" ht="12.75">
      <c r="A24" t="s">
        <v>62</v>
      </c>
      <c r="B24" s="57">
        <v>55</v>
      </c>
      <c r="C24" s="57">
        <v>55</v>
      </c>
      <c r="D24" s="57">
        <f>1.49+105</f>
        <v>106.49</v>
      </c>
      <c r="E24" s="57">
        <v>55</v>
      </c>
      <c r="F24" s="57">
        <f>163.31</f>
        <v>163.31</v>
      </c>
      <c r="G24" s="57">
        <v>2846</v>
      </c>
      <c r="H24" s="57">
        <v>-80</v>
      </c>
      <c r="J24" s="58">
        <f t="shared" si="1"/>
        <v>3200.8</v>
      </c>
      <c r="L24" s="57">
        <v>1125</v>
      </c>
      <c r="M24" s="57">
        <v>249</v>
      </c>
      <c r="N24" s="57"/>
      <c r="O24" s="57">
        <v>-80</v>
      </c>
      <c r="Q24" s="58">
        <f t="shared" si="2"/>
        <v>1294</v>
      </c>
    </row>
    <row r="25" spans="1:17" ht="12.75">
      <c r="A25" t="s">
        <v>63</v>
      </c>
      <c r="B25" s="57">
        <v>415.2</v>
      </c>
      <c r="C25" s="57">
        <f>27.25</f>
        <v>27.25</v>
      </c>
      <c r="D25" s="57">
        <v>0</v>
      </c>
      <c r="E25" s="57">
        <v>101.38</v>
      </c>
      <c r="F25" s="57"/>
      <c r="G25" s="57"/>
      <c r="H25" s="57"/>
      <c r="J25" s="58">
        <f t="shared" si="1"/>
        <v>543.8299999999999</v>
      </c>
      <c r="L25" s="57"/>
      <c r="M25" s="57"/>
      <c r="N25" s="57"/>
      <c r="O25" s="57"/>
      <c r="Q25" s="58">
        <f t="shared" si="2"/>
        <v>0</v>
      </c>
    </row>
    <row r="26" spans="1:17" ht="12.75">
      <c r="A26" t="s">
        <v>64</v>
      </c>
      <c r="B26" s="57">
        <v>53.25</v>
      </c>
      <c r="C26" s="57">
        <v>92.75</v>
      </c>
      <c r="D26" s="57">
        <v>162.35</v>
      </c>
      <c r="E26" s="57">
        <v>397.85</v>
      </c>
      <c r="F26" s="57">
        <v>317.91</v>
      </c>
      <c r="G26" s="57">
        <v>989.95</v>
      </c>
      <c r="H26" s="57"/>
      <c r="J26" s="58">
        <f t="shared" si="1"/>
        <v>2014.0600000000002</v>
      </c>
      <c r="L26" s="57">
        <v>762</v>
      </c>
      <c r="M26" s="57">
        <v>497</v>
      </c>
      <c r="N26" s="57"/>
      <c r="O26" s="57"/>
      <c r="Q26" s="58">
        <f t="shared" si="2"/>
        <v>1259</v>
      </c>
    </row>
    <row r="27" spans="1:17" ht="12.75">
      <c r="A27" t="s">
        <v>65</v>
      </c>
      <c r="B27" s="57">
        <v>60</v>
      </c>
      <c r="C27" s="57">
        <v>121.95</v>
      </c>
      <c r="D27" s="57">
        <v>660</v>
      </c>
      <c r="E27" s="57">
        <v>60</v>
      </c>
      <c r="F27" s="57">
        <v>105.69</v>
      </c>
      <c r="G27" s="57"/>
      <c r="H27" s="57"/>
      <c r="J27" s="58">
        <f t="shared" si="1"/>
        <v>1007.6400000000001</v>
      </c>
      <c r="L27" s="57">
        <v>370</v>
      </c>
      <c r="M27" s="57">
        <v>130</v>
      </c>
      <c r="N27" s="57"/>
      <c r="O27" s="57"/>
      <c r="Q27" s="58">
        <f t="shared" si="2"/>
        <v>500</v>
      </c>
    </row>
    <row r="28" spans="1:17" ht="12.75">
      <c r="A28" t="s">
        <v>66</v>
      </c>
      <c r="B28" s="57">
        <v>780</v>
      </c>
      <c r="C28" s="57">
        <v>-780</v>
      </c>
      <c r="D28" s="57">
        <v>0</v>
      </c>
      <c r="E28" s="57"/>
      <c r="F28" s="57"/>
      <c r="G28" s="57"/>
      <c r="H28" s="57"/>
      <c r="J28" s="58">
        <f t="shared" si="1"/>
        <v>0</v>
      </c>
      <c r="L28" s="57"/>
      <c r="M28" s="57"/>
      <c r="N28" s="57"/>
      <c r="O28" s="57"/>
      <c r="Q28" s="58">
        <f t="shared" si="2"/>
        <v>0</v>
      </c>
    </row>
    <row r="29" spans="1:17" ht="12.75">
      <c r="A29" t="s">
        <v>158</v>
      </c>
      <c r="B29" s="57"/>
      <c r="C29" s="57"/>
      <c r="D29" s="57"/>
      <c r="E29" s="57"/>
      <c r="F29" s="57"/>
      <c r="G29" s="57"/>
      <c r="H29" s="57"/>
      <c r="J29" s="58"/>
      <c r="L29" s="57">
        <v>1809</v>
      </c>
      <c r="M29" s="57"/>
      <c r="N29" s="57"/>
      <c r="O29" s="57">
        <v>-1809</v>
      </c>
      <c r="Q29" s="58">
        <f t="shared" si="2"/>
        <v>0</v>
      </c>
    </row>
    <row r="30" spans="2:17" ht="12.75">
      <c r="B30" s="57"/>
      <c r="C30" s="57"/>
      <c r="D30" s="57"/>
      <c r="E30" s="57"/>
      <c r="F30" s="57"/>
      <c r="G30" s="57"/>
      <c r="H30" s="57"/>
      <c r="J30" s="58">
        <f t="shared" si="1"/>
        <v>0</v>
      </c>
      <c r="L30" s="57"/>
      <c r="M30" s="57"/>
      <c r="N30" s="57"/>
      <c r="O30" s="57"/>
      <c r="Q30" s="58">
        <f>SUM(I30:O30)</f>
        <v>0</v>
      </c>
    </row>
    <row r="31" spans="1:17" ht="12.75">
      <c r="A31" t="s">
        <v>68</v>
      </c>
      <c r="B31" s="57">
        <f aca="true" t="shared" si="3" ref="B31:H31">SUM(B15:B29)</f>
        <v>2466.94</v>
      </c>
      <c r="C31" s="57">
        <f t="shared" si="3"/>
        <v>2675.31</v>
      </c>
      <c r="D31" s="57">
        <f t="shared" si="3"/>
        <v>4446.84</v>
      </c>
      <c r="E31" s="57">
        <f t="shared" si="3"/>
        <v>2648.67</v>
      </c>
      <c r="F31" s="57">
        <f t="shared" si="3"/>
        <v>5386.99</v>
      </c>
      <c r="G31" s="57">
        <f t="shared" si="3"/>
        <v>8033.08</v>
      </c>
      <c r="H31" s="57">
        <f t="shared" si="3"/>
        <v>-80</v>
      </c>
      <c r="I31" s="57">
        <f>SUM(I15:I28)</f>
        <v>0</v>
      </c>
      <c r="J31" s="58">
        <f t="shared" si="1"/>
        <v>25577.83</v>
      </c>
      <c r="L31" s="57">
        <f>SUM(L15:L29)</f>
        <v>9620</v>
      </c>
      <c r="M31" s="57">
        <f>SUM(M15:M29)</f>
        <v>4272</v>
      </c>
      <c r="N31" s="57">
        <f>SUM(N15:N29)</f>
        <v>817</v>
      </c>
      <c r="O31" s="57">
        <f>SUM(O15:O29)</f>
        <v>-4640</v>
      </c>
      <c r="Q31" s="58">
        <f>SUM(L31:O31)</f>
        <v>10069</v>
      </c>
    </row>
    <row r="32" spans="2:17" ht="12.75">
      <c r="B32" s="57"/>
      <c r="C32" s="57"/>
      <c r="D32" s="57"/>
      <c r="E32" s="57"/>
      <c r="F32" s="57"/>
      <c r="G32" s="57"/>
      <c r="H32" s="57"/>
      <c r="J32" s="58">
        <f t="shared" si="1"/>
        <v>0</v>
      </c>
      <c r="L32" s="57"/>
      <c r="M32" s="57"/>
      <c r="N32" s="57"/>
      <c r="O32" s="57"/>
      <c r="Q32" s="58">
        <f>SUM(I32:O32)</f>
        <v>0</v>
      </c>
    </row>
    <row r="33" spans="1:17" ht="12.75">
      <c r="A33" t="s">
        <v>69</v>
      </c>
      <c r="B33" s="57">
        <f aca="true" t="shared" si="4" ref="B33:H33">B11-B31</f>
        <v>-1098.04</v>
      </c>
      <c r="C33" s="57">
        <f t="shared" si="4"/>
        <v>-1827.21</v>
      </c>
      <c r="D33" s="57">
        <f t="shared" si="4"/>
        <v>-2477.1400000000003</v>
      </c>
      <c r="E33" s="57">
        <f t="shared" si="4"/>
        <v>-1449.83</v>
      </c>
      <c r="F33" s="57">
        <f t="shared" si="4"/>
        <v>2871.210000000001</v>
      </c>
      <c r="G33" s="57">
        <f t="shared" si="4"/>
        <v>3216.42</v>
      </c>
      <c r="H33" s="57">
        <f t="shared" si="4"/>
        <v>-12119</v>
      </c>
      <c r="J33" s="58">
        <f>SUM(B33:H33)</f>
        <v>-12883.59</v>
      </c>
      <c r="L33" s="57">
        <f>L11-L31</f>
        <v>-8551</v>
      </c>
      <c r="M33" s="57">
        <f>M11-M31</f>
        <v>2233</v>
      </c>
      <c r="N33" s="57">
        <f>N11-N31</f>
        <v>963</v>
      </c>
      <c r="O33" s="57">
        <f>O11-O31</f>
        <v>-860</v>
      </c>
      <c r="Q33" s="58">
        <f>SUM(L33:O33)</f>
        <v>-6215</v>
      </c>
    </row>
    <row r="34" spans="2:8" ht="12.75">
      <c r="B34" s="57"/>
      <c r="C34" s="57"/>
      <c r="D34" s="57"/>
      <c r="E34" s="57"/>
      <c r="F34" s="57"/>
      <c r="G34" s="57"/>
      <c r="H34" s="57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35"/>
  <sheetViews>
    <sheetView zoomScale="85" zoomScaleNormal="85" zoomScalePageLayoutView="0" workbookViewId="0" topLeftCell="A8">
      <selection activeCell="B16" sqref="B16"/>
    </sheetView>
  </sheetViews>
  <sheetFormatPr defaultColWidth="11.421875" defaultRowHeight="12.75"/>
  <cols>
    <col min="1" max="1" width="8.8515625" style="0" customWidth="1"/>
    <col min="2" max="2" width="13.140625" style="0" customWidth="1"/>
    <col min="3" max="3" width="24.28125" style="0" customWidth="1"/>
    <col min="4" max="4" width="13.140625" style="0" customWidth="1"/>
    <col min="5" max="5" width="24.28125" style="0" customWidth="1"/>
    <col min="6" max="6" width="8.8515625" style="0" customWidth="1"/>
    <col min="7" max="7" width="13.7109375" style="0" customWidth="1"/>
    <col min="8" max="9" width="24.28125" style="0" customWidth="1"/>
    <col min="10" max="10" width="17.8515625" style="0" customWidth="1"/>
    <col min="11" max="16384" width="8.8515625" style="0" customWidth="1"/>
  </cols>
  <sheetData>
    <row r="2" ht="12.75">
      <c r="A2" s="63" t="s">
        <v>93</v>
      </c>
    </row>
    <row r="4" spans="1:10" ht="27.75">
      <c r="A4" s="78" t="s">
        <v>144</v>
      </c>
      <c r="B4" s="64" t="s">
        <v>97</v>
      </c>
      <c r="C4" s="64" t="s">
        <v>145</v>
      </c>
      <c r="D4" s="64" t="s">
        <v>95</v>
      </c>
      <c r="E4" s="64" t="s">
        <v>99</v>
      </c>
      <c r="F4" s="64" t="s">
        <v>94</v>
      </c>
      <c r="G4" s="64" t="s">
        <v>100</v>
      </c>
      <c r="H4" s="64" t="s">
        <v>101</v>
      </c>
      <c r="I4" s="64" t="s">
        <v>142</v>
      </c>
      <c r="J4" s="64" t="s">
        <v>103</v>
      </c>
    </row>
    <row r="6" ht="12.75">
      <c r="A6" s="63" t="s">
        <v>2</v>
      </c>
    </row>
    <row r="7" ht="12.75">
      <c r="A7" s="63"/>
    </row>
    <row r="8" spans="1:10" ht="69.75">
      <c r="A8" s="70">
        <v>1</v>
      </c>
      <c r="B8" s="71" t="s">
        <v>109</v>
      </c>
      <c r="C8" s="72" t="s">
        <v>98</v>
      </c>
      <c r="D8" s="71" t="s">
        <v>96</v>
      </c>
      <c r="E8" s="72" t="s">
        <v>20</v>
      </c>
      <c r="F8" s="70">
        <v>91902455</v>
      </c>
      <c r="G8" s="74" t="s">
        <v>146</v>
      </c>
      <c r="H8" s="72" t="s">
        <v>102</v>
      </c>
      <c r="I8" s="79">
        <v>129727.02</v>
      </c>
      <c r="J8" s="72" t="s">
        <v>104</v>
      </c>
    </row>
    <row r="9" spans="1:10" ht="42">
      <c r="A9" s="70">
        <v>2</v>
      </c>
      <c r="B9" s="71" t="s">
        <v>109</v>
      </c>
      <c r="C9" s="72" t="s">
        <v>98</v>
      </c>
      <c r="D9" s="71" t="s">
        <v>96</v>
      </c>
      <c r="E9" s="71" t="s">
        <v>105</v>
      </c>
      <c r="F9" s="70">
        <v>63216730</v>
      </c>
      <c r="G9" s="73" t="s">
        <v>135</v>
      </c>
      <c r="H9" s="74" t="s">
        <v>137</v>
      </c>
      <c r="I9" s="80" t="s">
        <v>136</v>
      </c>
      <c r="J9" s="72" t="s">
        <v>106</v>
      </c>
    </row>
    <row r="10" spans="1:10" ht="42">
      <c r="A10" s="70">
        <v>3</v>
      </c>
      <c r="B10" s="71" t="s">
        <v>109</v>
      </c>
      <c r="C10" s="72" t="s">
        <v>98</v>
      </c>
      <c r="D10" s="71" t="s">
        <v>107</v>
      </c>
      <c r="E10" s="71" t="s">
        <v>105</v>
      </c>
      <c r="F10" s="70">
        <v>30596458</v>
      </c>
      <c r="G10" s="73" t="s">
        <v>135</v>
      </c>
      <c r="H10" s="74" t="s">
        <v>137</v>
      </c>
      <c r="I10" s="80" t="s">
        <v>136</v>
      </c>
      <c r="J10" s="72" t="s">
        <v>108</v>
      </c>
    </row>
    <row r="11" spans="1:10" ht="12.75">
      <c r="A11" s="65"/>
      <c r="B11" s="65"/>
      <c r="C11" s="65"/>
      <c r="D11" s="65"/>
      <c r="E11" s="65"/>
      <c r="F11" s="65"/>
      <c r="G11" s="65"/>
      <c r="H11" s="65"/>
      <c r="I11" s="68"/>
      <c r="J11" s="65"/>
    </row>
    <row r="12" spans="1:10" ht="12.75">
      <c r="A12" s="69" t="s">
        <v>3</v>
      </c>
      <c r="B12" s="65"/>
      <c r="C12" s="65"/>
      <c r="D12" s="65"/>
      <c r="E12" s="65"/>
      <c r="F12" s="65"/>
      <c r="G12" s="65"/>
      <c r="H12" s="65"/>
      <c r="I12" s="68"/>
      <c r="J12" s="65"/>
    </row>
    <row r="13" spans="1:10" ht="12.75">
      <c r="A13" s="65"/>
      <c r="B13" s="65"/>
      <c r="C13" s="65"/>
      <c r="D13" s="65"/>
      <c r="E13" s="65"/>
      <c r="F13" s="65"/>
      <c r="G13" s="65"/>
      <c r="H13" s="65"/>
      <c r="I13" s="68"/>
      <c r="J13" s="65"/>
    </row>
    <row r="14" spans="1:10" ht="69.75">
      <c r="A14" s="70">
        <v>1</v>
      </c>
      <c r="B14" s="71" t="s">
        <v>109</v>
      </c>
      <c r="C14" s="72" t="s">
        <v>98</v>
      </c>
      <c r="D14" s="71" t="s">
        <v>96</v>
      </c>
      <c r="E14" s="72" t="s">
        <v>110</v>
      </c>
      <c r="F14" s="70">
        <v>47233047</v>
      </c>
      <c r="G14" s="74" t="s">
        <v>147</v>
      </c>
      <c r="H14" s="72" t="s">
        <v>111</v>
      </c>
      <c r="I14" s="79">
        <v>21898.98</v>
      </c>
      <c r="J14" s="72" t="s">
        <v>112</v>
      </c>
    </row>
    <row r="15" spans="1:10" ht="84" customHeight="1">
      <c r="A15" s="70">
        <v>2</v>
      </c>
      <c r="B15" s="71" t="s">
        <v>109</v>
      </c>
      <c r="C15" s="72" t="s">
        <v>98</v>
      </c>
      <c r="D15" s="71" t="s">
        <v>96</v>
      </c>
      <c r="E15" s="71" t="s">
        <v>113</v>
      </c>
      <c r="F15" s="70">
        <v>80408582</v>
      </c>
      <c r="G15" s="74" t="s">
        <v>148</v>
      </c>
      <c r="H15" s="72" t="s">
        <v>116</v>
      </c>
      <c r="I15" s="81">
        <v>139026.74</v>
      </c>
      <c r="J15" s="72" t="s">
        <v>114</v>
      </c>
    </row>
    <row r="16" spans="1:10" ht="42">
      <c r="A16" s="70">
        <v>3</v>
      </c>
      <c r="B16" s="72" t="s">
        <v>117</v>
      </c>
      <c r="C16" s="72" t="s">
        <v>115</v>
      </c>
      <c r="D16" s="71" t="s">
        <v>107</v>
      </c>
      <c r="E16" s="71" t="s">
        <v>113</v>
      </c>
      <c r="F16" s="70">
        <v>88504026</v>
      </c>
      <c r="G16" s="74" t="s">
        <v>149</v>
      </c>
      <c r="H16" s="72" t="s">
        <v>116</v>
      </c>
      <c r="I16" s="81">
        <v>20646.72</v>
      </c>
      <c r="J16" s="72" t="s">
        <v>118</v>
      </c>
    </row>
    <row r="17" spans="1:10" ht="42">
      <c r="A17" s="70">
        <v>4</v>
      </c>
      <c r="B17" s="71" t="s">
        <v>109</v>
      </c>
      <c r="C17" s="72" t="s">
        <v>98</v>
      </c>
      <c r="D17" s="71" t="s">
        <v>96</v>
      </c>
      <c r="E17" s="71" t="s">
        <v>119</v>
      </c>
      <c r="F17" s="70">
        <v>40353273</v>
      </c>
      <c r="G17" s="74" t="s">
        <v>150</v>
      </c>
      <c r="H17" s="72" t="s">
        <v>121</v>
      </c>
      <c r="I17" s="81">
        <v>19259.51</v>
      </c>
      <c r="J17" s="72" t="s">
        <v>120</v>
      </c>
    </row>
    <row r="18" spans="1:10" ht="94.5" customHeight="1">
      <c r="A18" s="70">
        <v>5</v>
      </c>
      <c r="B18" s="71" t="s">
        <v>122</v>
      </c>
      <c r="C18" s="71" t="s">
        <v>134</v>
      </c>
      <c r="D18" s="71" t="s">
        <v>107</v>
      </c>
      <c r="E18" s="71" t="s">
        <v>124</v>
      </c>
      <c r="F18" s="70">
        <v>5146151</v>
      </c>
      <c r="G18" s="74" t="s">
        <v>151</v>
      </c>
      <c r="H18" s="72" t="s">
        <v>133</v>
      </c>
      <c r="I18" s="82">
        <v>106</v>
      </c>
      <c r="J18" s="74" t="s">
        <v>138</v>
      </c>
    </row>
    <row r="19" spans="1:10" ht="12.75">
      <c r="A19" s="65"/>
      <c r="B19" s="65"/>
      <c r="C19" s="65"/>
      <c r="D19" s="65"/>
      <c r="E19" s="65"/>
      <c r="F19" s="65"/>
      <c r="G19" s="65"/>
      <c r="H19" s="65"/>
      <c r="I19" s="65"/>
      <c r="J19" s="65"/>
    </row>
    <row r="20" spans="1:10" ht="12.75">
      <c r="A20" s="69" t="s">
        <v>73</v>
      </c>
      <c r="B20" s="65"/>
      <c r="C20" s="65"/>
      <c r="D20" s="65"/>
      <c r="E20" s="65"/>
      <c r="F20" s="65"/>
      <c r="G20" s="65"/>
      <c r="H20" s="65"/>
      <c r="I20" s="65"/>
      <c r="J20" s="65"/>
    </row>
    <row r="21" spans="1:10" ht="12.75">
      <c r="A21" s="65"/>
      <c r="B21" s="65"/>
      <c r="C21" s="65"/>
      <c r="D21" s="65"/>
      <c r="E21" s="65"/>
      <c r="F21" s="65"/>
      <c r="G21" s="65"/>
      <c r="H21" s="65"/>
      <c r="I21" s="65"/>
      <c r="J21" s="65"/>
    </row>
    <row r="22" spans="1:10" ht="27.75">
      <c r="A22" s="70">
        <v>1</v>
      </c>
      <c r="B22" s="71" t="s">
        <v>122</v>
      </c>
      <c r="C22" s="72" t="s">
        <v>123</v>
      </c>
      <c r="D22" s="71" t="s">
        <v>96</v>
      </c>
      <c r="E22" s="72" t="s">
        <v>124</v>
      </c>
      <c r="F22" s="70">
        <v>29374669</v>
      </c>
      <c r="G22" s="74" t="s">
        <v>152</v>
      </c>
      <c r="H22" s="72" t="s">
        <v>125</v>
      </c>
      <c r="I22" s="79">
        <v>26713</v>
      </c>
      <c r="J22" s="72" t="s">
        <v>126</v>
      </c>
    </row>
    <row r="23" spans="1:10" ht="27.75">
      <c r="A23" s="70">
        <v>2</v>
      </c>
      <c r="B23" s="71" t="s">
        <v>122</v>
      </c>
      <c r="C23" s="72" t="s">
        <v>123</v>
      </c>
      <c r="D23" s="71" t="s">
        <v>107</v>
      </c>
      <c r="E23" s="72" t="s">
        <v>124</v>
      </c>
      <c r="F23" s="70">
        <v>18766040</v>
      </c>
      <c r="G23" s="74" t="s">
        <v>152</v>
      </c>
      <c r="H23" s="72" t="s">
        <v>127</v>
      </c>
      <c r="I23" s="81">
        <v>10000</v>
      </c>
      <c r="J23" s="72" t="s">
        <v>128</v>
      </c>
    </row>
    <row r="24" spans="1:10" ht="27.75">
      <c r="A24" s="70">
        <v>3</v>
      </c>
      <c r="B24" s="71" t="s">
        <v>122</v>
      </c>
      <c r="C24" s="72" t="s">
        <v>123</v>
      </c>
      <c r="D24" s="71" t="s">
        <v>107</v>
      </c>
      <c r="E24" s="72" t="s">
        <v>124</v>
      </c>
      <c r="F24" s="70">
        <v>18766270</v>
      </c>
      <c r="G24" s="74" t="s">
        <v>152</v>
      </c>
      <c r="H24" s="72" t="s">
        <v>127</v>
      </c>
      <c r="I24" s="81">
        <v>20000</v>
      </c>
      <c r="J24" s="72" t="s">
        <v>129</v>
      </c>
    </row>
    <row r="25" spans="1:10" ht="12.75">
      <c r="A25" s="65"/>
      <c r="B25" s="65"/>
      <c r="C25" s="65"/>
      <c r="D25" s="65"/>
      <c r="E25" s="65"/>
      <c r="F25" s="65"/>
      <c r="G25" s="65"/>
      <c r="H25" s="65"/>
      <c r="I25" s="65"/>
      <c r="J25" s="65"/>
    </row>
    <row r="26" spans="1:10" ht="12.75">
      <c r="A26" s="69" t="s">
        <v>5</v>
      </c>
      <c r="B26" s="66"/>
      <c r="C26" s="67"/>
      <c r="D26" s="66"/>
      <c r="E26" s="66"/>
      <c r="F26" s="65"/>
      <c r="G26" s="65"/>
      <c r="H26" s="67"/>
      <c r="I26" s="68"/>
      <c r="J26" s="67"/>
    </row>
    <row r="27" spans="1:10" ht="12.75">
      <c r="A27" s="65"/>
      <c r="B27" s="65"/>
      <c r="C27" s="65"/>
      <c r="D27" s="65"/>
      <c r="E27" s="65"/>
      <c r="F27" s="65"/>
      <c r="G27" s="65"/>
      <c r="H27" s="65"/>
      <c r="I27" s="65"/>
      <c r="J27" s="65"/>
    </row>
    <row r="28" spans="1:10" ht="27.75">
      <c r="A28" s="70">
        <v>1</v>
      </c>
      <c r="B28" s="73" t="s">
        <v>139</v>
      </c>
      <c r="C28" s="73" t="s">
        <v>140</v>
      </c>
      <c r="D28" s="71" t="s">
        <v>96</v>
      </c>
      <c r="E28" s="71" t="s">
        <v>124</v>
      </c>
      <c r="F28" s="70">
        <v>18361025</v>
      </c>
      <c r="G28" s="74" t="s">
        <v>153</v>
      </c>
      <c r="H28" s="73" t="s">
        <v>141</v>
      </c>
      <c r="I28" s="81">
        <v>6627.23</v>
      </c>
      <c r="J28" s="70"/>
    </row>
    <row r="29" spans="1:10" ht="12.75">
      <c r="A29" s="65"/>
      <c r="B29" s="65"/>
      <c r="C29" s="65"/>
      <c r="D29" s="65"/>
      <c r="E29" s="65"/>
      <c r="F29" s="65"/>
      <c r="G29" s="65"/>
      <c r="H29" s="65"/>
      <c r="I29" s="65"/>
      <c r="J29" s="65"/>
    </row>
    <row r="30" spans="1:10" ht="12.75">
      <c r="A30" s="69" t="s">
        <v>4</v>
      </c>
      <c r="B30" s="65"/>
      <c r="C30" s="65"/>
      <c r="D30" s="65"/>
      <c r="E30" s="65"/>
      <c r="F30" s="65"/>
      <c r="G30" s="65"/>
      <c r="H30" s="65"/>
      <c r="I30" s="65"/>
      <c r="J30" s="65"/>
    </row>
    <row r="31" spans="1:10" ht="12.75">
      <c r="A31" s="65"/>
      <c r="B31" s="65"/>
      <c r="C31" s="65"/>
      <c r="D31" s="65"/>
      <c r="E31" s="65"/>
      <c r="F31" s="65"/>
      <c r="G31" s="65"/>
      <c r="H31" s="65"/>
      <c r="I31" s="65"/>
      <c r="J31" s="65"/>
    </row>
    <row r="32" spans="1:10" ht="27.75">
      <c r="A32" s="70">
        <v>1</v>
      </c>
      <c r="B32" s="71" t="s">
        <v>109</v>
      </c>
      <c r="C32" s="71" t="s">
        <v>130</v>
      </c>
      <c r="D32" s="71" t="s">
        <v>76</v>
      </c>
      <c r="E32" s="72" t="s">
        <v>131</v>
      </c>
      <c r="F32" s="70">
        <v>71415019</v>
      </c>
      <c r="G32" s="73" t="s">
        <v>154</v>
      </c>
      <c r="H32" s="74" t="s">
        <v>132</v>
      </c>
      <c r="I32" s="75">
        <v>10509</v>
      </c>
      <c r="J32" s="70"/>
    </row>
    <row r="33" spans="1:10" ht="12.75">
      <c r="A33" s="65"/>
      <c r="B33" s="65"/>
      <c r="C33" s="65"/>
      <c r="D33" s="65"/>
      <c r="E33" s="65"/>
      <c r="F33" s="65"/>
      <c r="G33" s="65"/>
      <c r="H33" s="65"/>
      <c r="I33" s="65"/>
      <c r="J33" s="65"/>
    </row>
    <row r="34" spans="1:10" ht="12.75">
      <c r="A34" s="76" t="s">
        <v>143</v>
      </c>
      <c r="B34" s="76"/>
      <c r="C34" s="76"/>
      <c r="D34" s="76"/>
      <c r="E34" s="76"/>
      <c r="F34" s="76"/>
      <c r="G34" s="76"/>
      <c r="H34" s="76"/>
      <c r="I34" s="76"/>
      <c r="J34" s="65"/>
    </row>
    <row r="35" spans="1:10" ht="12.75">
      <c r="A35" s="76"/>
      <c r="B35" s="76"/>
      <c r="C35" s="76"/>
      <c r="D35" s="76"/>
      <c r="E35" s="76"/>
      <c r="F35" s="76"/>
      <c r="G35" s="76"/>
      <c r="H35" s="76"/>
      <c r="I35" s="77">
        <f>SUM(I7:I32)</f>
        <v>404514.19999999995</v>
      </c>
      <c r="J35" s="65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Ross</dc:creator>
  <cp:keywords/>
  <dc:description/>
  <cp:lastModifiedBy>Conor O'Hagan</cp:lastModifiedBy>
  <cp:lastPrinted>2019-07-25T18:11:17Z</cp:lastPrinted>
  <dcterms:created xsi:type="dcterms:W3CDTF">2012-08-05T13:58:43Z</dcterms:created>
  <dcterms:modified xsi:type="dcterms:W3CDTF">2020-04-11T12:25:59Z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