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35" tabRatio="869" activeTab="2"/>
  </bookViews>
  <sheets>
    <sheet name="Cover" sheetId="1" r:id="rId1"/>
    <sheet name="Information Page" sheetId="2" r:id="rId2"/>
    <sheet name="P&amp;L Summary" sheetId="3" r:id="rId3"/>
    <sheet name="P&amp;L Details" sheetId="4" r:id="rId4"/>
    <sheet name="Balance Sheet" sheetId="5" r:id="rId5"/>
    <sheet name="Accounts Details " sheetId="6" r:id="rId6"/>
    <sheet name="Bank Reconciliations" sheetId="7" r:id="rId7"/>
    <sheet name="Sheet1" sheetId="8" state="hidden" r:id="rId8"/>
    <sheet name="Bank Listing" sheetId="9" state="hidden" r:id="rId9"/>
    <sheet name="Budget" sheetId="10" state="hidden" r:id="rId10"/>
    <sheet name="Budget Diff" sheetId="11" state="hidden" r:id="rId11"/>
    <sheet name="Budget Details" sheetId="12" state="hidden" r:id="rId12"/>
  </sheets>
  <definedNames>
    <definedName name="_xlnm.Print_Area" localSheetId="5">'Accounts Details '!$A$7:$H$70</definedName>
    <definedName name="_xlnm.Print_Area" localSheetId="3">'P&amp;L Details'!$A$5:$M$67</definedName>
  </definedNames>
  <calcPr fullCalcOnLoad="1"/>
</workbook>
</file>

<file path=xl/sharedStrings.xml><?xml version="1.0" encoding="utf-8"?>
<sst xmlns="http://schemas.openxmlformats.org/spreadsheetml/2006/main" count="553" uniqueCount="323">
  <si>
    <t>OPERATING EXPENSES</t>
  </si>
  <si>
    <t>Total Operating Expenses</t>
  </si>
  <si>
    <t>National</t>
  </si>
  <si>
    <t>Dublin</t>
  </si>
  <si>
    <t>Galway</t>
  </si>
  <si>
    <t>Thurles</t>
  </si>
  <si>
    <t>Total</t>
  </si>
  <si>
    <t>€</t>
  </si>
  <si>
    <t>INCOME</t>
  </si>
  <si>
    <t>Life Ireland Ltd</t>
  </si>
  <si>
    <t>12 Mths 2011</t>
  </si>
  <si>
    <t>Variance</t>
  </si>
  <si>
    <t>FIXED ASSETS</t>
  </si>
  <si>
    <t>CURRENT ASSETS</t>
  </si>
  <si>
    <t>CURRENT LIABILITIES</t>
  </si>
  <si>
    <t>Total Current Liabilities</t>
  </si>
  <si>
    <t>Capital and Reserves</t>
  </si>
  <si>
    <t>As at</t>
  </si>
  <si>
    <t>Note</t>
  </si>
  <si>
    <t>Life Pregnancy Care Ireland Limited</t>
  </si>
  <si>
    <t>Tangible Assets</t>
  </si>
  <si>
    <t>Bank and Cash on Hand</t>
  </si>
  <si>
    <t>Capital Grants</t>
  </si>
  <si>
    <t>Account Details</t>
  </si>
  <si>
    <t>Information Page</t>
  </si>
  <si>
    <t>Page</t>
  </si>
  <si>
    <t>National:</t>
  </si>
  <si>
    <t>Insurance</t>
  </si>
  <si>
    <t>-</t>
  </si>
  <si>
    <t>Cork:</t>
  </si>
  <si>
    <t>Rent</t>
  </si>
  <si>
    <t>Advertising</t>
  </si>
  <si>
    <t>Thurles:</t>
  </si>
  <si>
    <t>Light and Heat</t>
  </si>
  <si>
    <t>Telephone</t>
  </si>
  <si>
    <t>Household Expenses</t>
  </si>
  <si>
    <t>Net Current Assets</t>
  </si>
  <si>
    <t>Fundraising</t>
  </si>
  <si>
    <t>Shop income Thurles</t>
  </si>
  <si>
    <t>Bank Interest Receivable</t>
  </si>
  <si>
    <t>Staff Salaries</t>
  </si>
  <si>
    <t>Employers PRSI</t>
  </si>
  <si>
    <t>Recruitment</t>
  </si>
  <si>
    <t>Staff Training</t>
  </si>
  <si>
    <t>Heat and Light</t>
  </si>
  <si>
    <t>Repairs</t>
  </si>
  <si>
    <t>Printing and Stationery</t>
  </si>
  <si>
    <t>Bank Charges</t>
  </si>
  <si>
    <t>General Expenses</t>
  </si>
  <si>
    <t>Membership and Subscriptions</t>
  </si>
  <si>
    <t>Professional and Accountant fees</t>
  </si>
  <si>
    <t>Depreciation Charge</t>
  </si>
  <si>
    <t>Donations</t>
  </si>
  <si>
    <t>Cork P&amp;L</t>
  </si>
  <si>
    <t>Jan</t>
  </si>
  <si>
    <t>Feb</t>
  </si>
  <si>
    <t>Mar</t>
  </si>
  <si>
    <t>Apr</t>
  </si>
  <si>
    <t>May</t>
  </si>
  <si>
    <t>Jun</t>
  </si>
  <si>
    <t>Education</t>
  </si>
  <si>
    <t>General Expense</t>
  </si>
  <si>
    <t>Stationary</t>
  </si>
  <si>
    <t>Travel</t>
  </si>
  <si>
    <t>Supervision</t>
  </si>
  <si>
    <t>Training</t>
  </si>
  <si>
    <t>Total Income</t>
  </si>
  <si>
    <t>Total Expenditure</t>
  </si>
  <si>
    <t>Surplus / Deficit</t>
  </si>
  <si>
    <t>Subscriptions</t>
  </si>
  <si>
    <t>Advertisiing</t>
  </si>
  <si>
    <t>Other</t>
  </si>
  <si>
    <t>Cork</t>
  </si>
  <si>
    <t>Inter</t>
  </si>
  <si>
    <t>Promotional Literature</t>
  </si>
  <si>
    <t>Current</t>
  </si>
  <si>
    <t>Prepayments and Other Debtors</t>
  </si>
  <si>
    <t>Staff Pension</t>
  </si>
  <si>
    <t>Supervision Expenses</t>
  </si>
  <si>
    <t>Tuition Fees</t>
  </si>
  <si>
    <t>Fundraising Expenses</t>
  </si>
  <si>
    <t>Conference Costs</t>
  </si>
  <si>
    <t>Computer Costs</t>
  </si>
  <si>
    <t>Telephone and Internet</t>
  </si>
  <si>
    <t>Travel &amp; Subsistence</t>
  </si>
  <si>
    <t>Audit Fees</t>
  </si>
  <si>
    <t>Rental Income</t>
  </si>
  <si>
    <t xml:space="preserve">Other Income </t>
  </si>
  <si>
    <t>CPP Income</t>
  </si>
  <si>
    <t>Capital Grants to Income</t>
  </si>
  <si>
    <t xml:space="preserve">Dublin City Council </t>
  </si>
  <si>
    <t xml:space="preserve">Donations and Subscriptions </t>
  </si>
  <si>
    <t>Life Pregnancy Care Ireland Limited - Listing of Bank Accounts</t>
  </si>
  <si>
    <t>A/c No.</t>
  </si>
  <si>
    <t>Bank A/c Type</t>
  </si>
  <si>
    <t>Current a/c</t>
  </si>
  <si>
    <t>Bank</t>
  </si>
  <si>
    <t>Merrion Road, Dublin 4</t>
  </si>
  <si>
    <t>A/c Name</t>
  </si>
  <si>
    <t>Signatories</t>
  </si>
  <si>
    <t>Post address</t>
  </si>
  <si>
    <t>Life Pregnancy Care Ireland Limited, 29-30 Dame Street Dublin 2</t>
  </si>
  <si>
    <t>Notes</t>
  </si>
  <si>
    <t>Main bank account of Life National</t>
  </si>
  <si>
    <t xml:space="preserve">Life Ireland </t>
  </si>
  <si>
    <t>Old Life account, closed in January 2012</t>
  </si>
  <si>
    <t>Deposit a/c</t>
  </si>
  <si>
    <t>Old deposit account, closed in January 2012</t>
  </si>
  <si>
    <t>Bank of Ireland</t>
  </si>
  <si>
    <t>Life Ireland Limtied</t>
  </si>
  <si>
    <t>Mrs Vanessa Byrne, Cloneen, Ballysax, The Curragh, Co. Kildare</t>
  </si>
  <si>
    <t>Main bank account of Life Dublin</t>
  </si>
  <si>
    <t>Life House Management</t>
  </si>
  <si>
    <t>Bank account for Life Dublin House</t>
  </si>
  <si>
    <t>6 Lower O'Connoll Street</t>
  </si>
  <si>
    <t>Life House Management, 29-30 Dame Street Dublin 2</t>
  </si>
  <si>
    <t>ICS Building Society</t>
  </si>
  <si>
    <t>Only transactions is a small amount of interest received</t>
  </si>
  <si>
    <t>Life Ireland Limited Creche</t>
  </si>
  <si>
    <t>No transactions since 2006</t>
  </si>
  <si>
    <t>The Chairman, Life Ireland (Dublin) Limited, 29-30 Dame Street Dublin 2</t>
  </si>
  <si>
    <t>PTSB</t>
  </si>
  <si>
    <t>40/41 Patrick Street Cork</t>
  </si>
  <si>
    <t>Life Pregnancy Care Service</t>
  </si>
  <si>
    <t>Miss Eilish Forrest, 37 Castleview, Little Island, Cork</t>
  </si>
  <si>
    <t>Main Bank account Life Cork</t>
  </si>
  <si>
    <t>Miss Deborah Cotter, 37 Castleview, Little Island, Cork</t>
  </si>
  <si>
    <t>Last transaction Sept 2011</t>
  </si>
  <si>
    <t>Last transaction Mar 2011</t>
  </si>
  <si>
    <t>Eyre Square Galway</t>
  </si>
  <si>
    <t>Life Pregnancy Care Service (Galway)</t>
  </si>
  <si>
    <t>Martin Gleeson, 29 Garrai Glass, Athenry, Co. Galway</t>
  </si>
  <si>
    <t>Ms. Marie B Fitzpatrick, 29/30 Dame Street, Dublin 2</t>
  </si>
  <si>
    <t>70 Grafton Street, Dublin 2</t>
  </si>
  <si>
    <t>N/A</t>
  </si>
  <si>
    <t xml:space="preserve">Closed </t>
  </si>
  <si>
    <t>N/A, closed</t>
  </si>
  <si>
    <t>No transactions since 2011</t>
  </si>
  <si>
    <t>Ulster Bank</t>
  </si>
  <si>
    <t>No details</t>
  </si>
  <si>
    <t>No Details</t>
  </si>
  <si>
    <t>Balance per Mgt A/c 30/06</t>
  </si>
  <si>
    <t>Total as per Bank Balance per Management Accounts 30/06</t>
  </si>
  <si>
    <t>Life Branch</t>
  </si>
  <si>
    <t>Bank Branch</t>
  </si>
  <si>
    <t xml:space="preserve">Mary McCarthy, Gillian McGill, Mary Shiels, Mary Colette Hayes </t>
  </si>
  <si>
    <t xml:space="preserve">Joe Carthy, Vanessa Byrne, Patrick Davies, Mary Colette Hayes </t>
  </si>
  <si>
    <t xml:space="preserve">Patrick Davies, Vanessa Byrne, Joe Carthy, Mary Colette Hayes, Rea Finnegan </t>
  </si>
  <si>
    <t xml:space="preserve">Mary McMahon, Betty Dunne </t>
  </si>
  <si>
    <t xml:space="preserve">Joe Carthy, Michael Hayes </t>
  </si>
  <si>
    <t>Mary Adams, Anne Kennedy, Marie Fitzpatrick, Paula O'Connor, Anne McGrath</t>
  </si>
  <si>
    <t>Debra Cotter, Eilish Forrest</t>
  </si>
  <si>
    <t xml:space="preserve">Mary O" Reilly, Moira Morrissey </t>
  </si>
  <si>
    <t>Martin Gleeson</t>
  </si>
  <si>
    <t>Jul</t>
  </si>
  <si>
    <t>Aug</t>
  </si>
  <si>
    <t>Sep</t>
  </si>
  <si>
    <t>Audit / Accounts</t>
  </si>
  <si>
    <t xml:space="preserve"> </t>
  </si>
  <si>
    <t>Creditors and Accruals</t>
  </si>
  <si>
    <t>Creditors</t>
  </si>
  <si>
    <t>Board Meeting Expenses</t>
  </si>
  <si>
    <t>Budget 2013</t>
  </si>
  <si>
    <t>Actual 2011</t>
  </si>
  <si>
    <t>Budget Details - Per Branch</t>
  </si>
  <si>
    <t>Budget Summary 2013</t>
  </si>
  <si>
    <t>Legal Fees</t>
  </si>
  <si>
    <t>Loss on Disposal</t>
  </si>
  <si>
    <t>HSE Income</t>
  </si>
  <si>
    <t>Petty Cash</t>
  </si>
  <si>
    <t>Accounting</t>
  </si>
  <si>
    <t>Contract Staff</t>
  </si>
  <si>
    <t>Life PCI Limited</t>
  </si>
  <si>
    <t>Actual 2012</t>
  </si>
  <si>
    <t>%</t>
  </si>
  <si>
    <t>Budget Vs. Actual 2013/2012</t>
  </si>
  <si>
    <t>Notes to the Accounts</t>
  </si>
  <si>
    <t>Travel and Subsistence</t>
  </si>
  <si>
    <t>Professional and Accountant Fees</t>
  </si>
  <si>
    <t>Surplus for the year</t>
  </si>
  <si>
    <t>Surplus/(Deficit) for period</t>
  </si>
  <si>
    <t>Dublin House</t>
  </si>
  <si>
    <t>Dublin/ Dublin House</t>
  </si>
  <si>
    <t>Dublin City Council- Dublin House</t>
  </si>
  <si>
    <t>1. Fixed Assets</t>
  </si>
  <si>
    <t>Heat and Light &amp; cleaning</t>
  </si>
  <si>
    <t>Printing , stationery, postage</t>
  </si>
  <si>
    <t>Surplus/(Deficit) for year to date</t>
  </si>
  <si>
    <t>Tusla</t>
  </si>
  <si>
    <t>Petty Cash/Credit card</t>
  </si>
  <si>
    <t xml:space="preserve">Anew Support Services CLG </t>
  </si>
  <si>
    <t>Anew Support Services CLG</t>
  </si>
  <si>
    <t>Bank interest</t>
  </si>
  <si>
    <t>Rent, rates &amp; facilities mgt</t>
  </si>
  <si>
    <t>Fire safety</t>
  </si>
  <si>
    <t>Outreach room rental</t>
  </si>
  <si>
    <t>TV connection</t>
  </si>
  <si>
    <t>Designated Funds</t>
  </si>
  <si>
    <t>Revaluation of Reserves</t>
  </si>
  <si>
    <t>Alarm Monitoring</t>
  </si>
  <si>
    <t>clients/hostel exps</t>
  </si>
  <si>
    <t>Canteen</t>
  </si>
  <si>
    <t>PAYE /PRSI</t>
  </si>
  <si>
    <t>Shop Income</t>
  </si>
  <si>
    <t>Thurles shop</t>
  </si>
  <si>
    <t>General office costs</t>
  </si>
  <si>
    <t>Accountancy</t>
  </si>
  <si>
    <t>Other Income</t>
  </si>
  <si>
    <t>Lease of office equipment</t>
  </si>
  <si>
    <t>DRHE</t>
  </si>
  <si>
    <t>Tusla SLA</t>
  </si>
  <si>
    <t>Other income</t>
  </si>
  <si>
    <t>Rent - Cork</t>
  </si>
  <si>
    <t>Rent Thurles</t>
  </si>
  <si>
    <t>Leasing of office equipment</t>
  </si>
  <si>
    <t>Health &amp; Safety</t>
  </si>
  <si>
    <t>Alarm monitoring</t>
  </si>
  <si>
    <t>Restricted Funds</t>
  </si>
  <si>
    <t>Tusla 2017</t>
  </si>
  <si>
    <t>Grant income</t>
  </si>
  <si>
    <t>M Morrissey exps</t>
  </si>
  <si>
    <t>Deferred Income</t>
  </si>
  <si>
    <t>Networking</t>
  </si>
  <si>
    <t>Projects</t>
  </si>
  <si>
    <t>Legal &amp; Professional</t>
  </si>
  <si>
    <t>Removal costs</t>
  </si>
  <si>
    <t>Refuse</t>
  </si>
  <si>
    <t>Networking/programme costs</t>
  </si>
  <si>
    <t>Promotional literature</t>
  </si>
  <si>
    <t>Prepayments</t>
  </si>
  <si>
    <t>Rent Deposit shop</t>
  </si>
  <si>
    <t>Unrestricted funds b/f</t>
  </si>
  <si>
    <t>DRHE- CBC</t>
  </si>
  <si>
    <t>Canteen/client food</t>
  </si>
  <si>
    <t xml:space="preserve">Advertising </t>
  </si>
  <si>
    <t>Bank Reconciliations</t>
  </si>
  <si>
    <t>Head Office Bank Account</t>
  </si>
  <si>
    <t>Less Payments</t>
  </si>
  <si>
    <t>Less Payments:</t>
  </si>
  <si>
    <t>Closing Balance as per FS</t>
  </si>
  <si>
    <t>Dublin Bank Account</t>
  </si>
  <si>
    <t>Life House Bank Account</t>
  </si>
  <si>
    <t>Plus: Receipts</t>
  </si>
  <si>
    <t>Less payments:</t>
  </si>
  <si>
    <t>Closing balance as per FS</t>
  </si>
  <si>
    <t>Thurles Bank Account</t>
  </si>
  <si>
    <t>Plus: receipts</t>
  </si>
  <si>
    <t>Less: Payments</t>
  </si>
  <si>
    <t>SHCPP</t>
  </si>
  <si>
    <t>Balance at 1st January 2020</t>
  </si>
  <si>
    <t>Balance as at 1st January 2020</t>
  </si>
  <si>
    <t>Staff/Volunteer event costs</t>
  </si>
  <si>
    <t>Client expenses</t>
  </si>
  <si>
    <t>Household Supplies</t>
  </si>
  <si>
    <t>Haven House Project</t>
  </si>
  <si>
    <t>Haven House Refurb Costs</t>
  </si>
  <si>
    <t>Removal Costs</t>
  </si>
  <si>
    <t>Pension refund due</t>
  </si>
  <si>
    <t>Audit 2019</t>
  </si>
  <si>
    <t>Audit 2020</t>
  </si>
  <si>
    <t>Donations and Subscriptions</t>
  </si>
  <si>
    <t>Employer's PRSI</t>
  </si>
  <si>
    <t>Rent, Rates and Facilities Mgmnt</t>
  </si>
  <si>
    <t>Heat and Light and Cleaning</t>
  </si>
  <si>
    <t>Staff/Volunteer Event Costs</t>
  </si>
  <si>
    <t>Printing, Stationery &amp; Postage</t>
  </si>
  <si>
    <t>SHCPP Income</t>
  </si>
  <si>
    <t>Grants</t>
  </si>
  <si>
    <t>Rental income - DRHE</t>
  </si>
  <si>
    <t>Rental Income - CBC</t>
  </si>
  <si>
    <t>Floating Support</t>
  </si>
  <si>
    <t>Shop</t>
  </si>
  <si>
    <t>Pearse Street</t>
  </si>
  <si>
    <t>The Ireland Fund - DP</t>
  </si>
  <si>
    <t xml:space="preserve">NR </t>
  </si>
  <si>
    <t>Year Ended      Dec 2019</t>
  </si>
  <si>
    <t>TUSLA   2017</t>
  </si>
  <si>
    <t>TUSLA   SLA</t>
  </si>
  <si>
    <t>Details</t>
  </si>
  <si>
    <t>2. Prepayments and Other Debtors</t>
  </si>
  <si>
    <t>3. Bank and Cash</t>
  </si>
  <si>
    <t>4. Creditors and Accruals</t>
  </si>
  <si>
    <t>Rental income - National</t>
  </si>
  <si>
    <t>Hospital Saturday Fund</t>
  </si>
  <si>
    <t>Irish Office Space</t>
  </si>
  <si>
    <t>The National Lottery/The Ireland Fund</t>
  </si>
  <si>
    <t>ICSH Membership 6 months</t>
  </si>
  <si>
    <t>Management Accounts to 30th June 2020</t>
  </si>
  <si>
    <t>Balance Sheet as at 30th June 2020</t>
  </si>
  <si>
    <t>Actual              6 months June 2020</t>
  </si>
  <si>
    <t>Projected      6 months June 2020</t>
  </si>
  <si>
    <t>Balance as per Bank Statement 30th June 2020</t>
  </si>
  <si>
    <t>CBC Rental Income - June</t>
  </si>
  <si>
    <t>The Wheel</t>
  </si>
  <si>
    <t>I Donations</t>
  </si>
  <si>
    <t>Procom</t>
  </si>
  <si>
    <t>Accrue re Hourly Payroll</t>
  </si>
  <si>
    <t>Accountancy/Legal/General exps</t>
  </si>
  <si>
    <t>Energia Gas Pearse Street</t>
  </si>
  <si>
    <t>Zendesk/Covid</t>
  </si>
  <si>
    <t>Covid Costs</t>
  </si>
  <si>
    <t>Premises NBV 30 June 2020</t>
  </si>
  <si>
    <t>Fixtures &amp; Fittings NBV 30 June 2020</t>
  </si>
  <si>
    <t>Computer Equipment NBV 30 June 2020</t>
  </si>
  <si>
    <t>Leasehold improvements 30 June 2020</t>
  </si>
  <si>
    <t>Beehive Rent due</t>
  </si>
  <si>
    <t>Glenpatrick</t>
  </si>
  <si>
    <t>Bord Gais - Cork</t>
  </si>
  <si>
    <t>Management Accounts for the 6 months ended 30th June 2020</t>
  </si>
  <si>
    <t>Management Accounts for 6 months to 30th June 2020</t>
  </si>
  <si>
    <t>McCormack Solicitors - Tara St Lease</t>
  </si>
  <si>
    <t>Thurles Rent Apr - Jun 20</t>
  </si>
  <si>
    <t>Income and Expenditure Account Summary for the 6 months ended 30th June 2020</t>
  </si>
  <si>
    <t>Income and Expenditure Account Details for the 6 months ended 30th June 2020</t>
  </si>
  <si>
    <t>Not Budgeted for</t>
  </si>
  <si>
    <t>Check Reads/Beehive to repay</t>
  </si>
  <si>
    <t>Check budget</t>
  </si>
  <si>
    <t>Security issue - higher costs than expected should be lower in Q3 and Q4</t>
  </si>
  <si>
    <t>Beehive/Advic - including accrued income</t>
  </si>
  <si>
    <t>HSF/Lottery/NR - all allocated in Q1</t>
  </si>
  <si>
    <t>Budgeted to break even (excluding the depreciation)</t>
  </si>
  <si>
    <t>This will decrease going forward to €100 p/m</t>
  </si>
  <si>
    <t>HH Project (Lottery)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</si>
</sst>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#,##0;\(#,##0\)"/>
    <numFmt numFmtId="175" formatCode="_-* #,##0.0000_-;\-* #,##0.0000_-;_-* &quot;-&quot;????_-;_-@_-"/>
    <numFmt numFmtId="176" formatCode="&quot;Yes&quot;;&quot;Yes&quot;;&quot;No&quot;"/>
    <numFmt numFmtId="177" formatCode="_-* #,##0_-;\(#,##0\);_-* &quot;-&quot;??_-;_-@_-"/>
    <numFmt numFmtId="178" formatCode="&quot;True&quot;;&quot;True&quot;;&quot;False&quot;"/>
    <numFmt numFmtId="179" formatCode="_-&quot;£&quot;* #,##0_-;\-&quot;£&quot;* #,##0_-;_-&quot;£&quot;* &quot;-&quot;_-;_-@_-"/>
    <numFmt numFmtId="180" formatCode="dd/mm/yy;@"/>
    <numFmt numFmtId="181" formatCode="_(* #,##0_);_(* \(#,##0\);_(* &quot;-&quot;??_);_(@_)"/>
    <numFmt numFmtId="182" formatCode="d\-mmm\-yyyy"/>
    <numFmt numFmtId="183" formatCode="[$-1809]dd\ mmmm\ yyyy"/>
    <numFmt numFmtId="184" formatCode="_-* #,##0.000_-;\-* #,##0.000_-;_-* &quot;-&quot;??_-;_-@_-"/>
    <numFmt numFmtId="185" formatCode="_-* #,##0.0000_-;\-* #,##0.0000_-;_-* &quot;-&quot;??_-;_-@_-"/>
    <numFmt numFmtId="186" formatCode="_-* #,##0.0_-;\-* #,##0.0_-;_-* &quot;-&quot;?_-;_-@_-"/>
    <numFmt numFmtId="187" formatCode="#,##0.0"/>
    <numFmt numFmtId="188" formatCode="&quot;On&quot;;&quot;On&quot;;&quot;Off&quot;"/>
    <numFmt numFmtId="189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0"/>
      <color indexed="8"/>
      <name val="Tahoma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10"/>
      <color indexed="22"/>
      <name val="Tahoma"/>
      <family val="2"/>
    </font>
    <font>
      <b/>
      <u val="single"/>
      <sz val="14"/>
      <name val="Tahoma"/>
      <family val="2"/>
    </font>
    <font>
      <u val="single"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u val="singleAccounting"/>
      <sz val="10"/>
      <name val="Tahoma"/>
      <family val="2"/>
    </font>
    <font>
      <u val="single"/>
      <sz val="10"/>
      <name val="Tahoma"/>
      <family val="2"/>
    </font>
    <font>
      <i/>
      <sz val="10"/>
      <color indexed="22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sz val="14"/>
      <name val="Calibri"/>
      <family val="2"/>
    </font>
    <font>
      <sz val="10"/>
      <color indexed="10"/>
      <name val="Tahoma"/>
      <family val="2"/>
    </font>
    <font>
      <sz val="10"/>
      <color rgb="FFFF0000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2" borderId="1" applyNumberFormat="0" applyAlignment="0" applyProtection="0"/>
    <xf numFmtId="0" fontId="10" fillId="1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3" fontId="4" fillId="0" borderId="0" xfId="42" applyNumberFormat="1" applyFont="1" applyAlignment="1">
      <alignment horizontal="center"/>
    </xf>
    <xf numFmtId="0" fontId="5" fillId="0" borderId="0" xfId="0" applyFont="1" applyAlignment="1">
      <alignment/>
    </xf>
    <xf numFmtId="173" fontId="3" fillId="0" borderId="0" xfId="42" applyNumberFormat="1" applyFont="1" applyAlignment="1">
      <alignment/>
    </xf>
    <xf numFmtId="0" fontId="4" fillId="0" borderId="0" xfId="0" applyFont="1" applyAlignment="1">
      <alignment/>
    </xf>
    <xf numFmtId="173" fontId="4" fillId="0" borderId="10" xfId="42" applyNumberFormat="1" applyFont="1" applyBorder="1" applyAlignment="1">
      <alignment/>
    </xf>
    <xf numFmtId="173" fontId="3" fillId="0" borderId="0" xfId="0" applyNumberFormat="1" applyFont="1" applyAlignment="1">
      <alignment/>
    </xf>
    <xf numFmtId="173" fontId="4" fillId="0" borderId="11" xfId="42" applyNumberFormat="1" applyFont="1" applyBorder="1" applyAlignment="1">
      <alignment/>
    </xf>
    <xf numFmtId="174" fontId="4" fillId="0" borderId="11" xfId="42" applyNumberFormat="1" applyFont="1" applyBorder="1" applyAlignment="1">
      <alignment/>
    </xf>
    <xf numFmtId="174" fontId="3" fillId="0" borderId="0" xfId="42" applyNumberFormat="1" applyFont="1" applyAlignment="1">
      <alignment/>
    </xf>
    <xf numFmtId="0" fontId="3" fillId="0" borderId="0" xfId="0" applyFont="1" applyFill="1" applyBorder="1" applyAlignment="1">
      <alignment/>
    </xf>
    <xf numFmtId="173" fontId="3" fillId="0" borderId="0" xfId="42" applyNumberFormat="1" applyFont="1" applyFill="1" applyBorder="1" applyAlignment="1">
      <alignment/>
    </xf>
    <xf numFmtId="0" fontId="27" fillId="0" borderId="1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3" fontId="3" fillId="0" borderId="10" xfId="42" applyNumberFormat="1" applyFont="1" applyBorder="1" applyAlignment="1">
      <alignment/>
    </xf>
    <xf numFmtId="0" fontId="4" fillId="0" borderId="0" xfId="116" applyFont="1" applyFill="1" applyBorder="1">
      <alignment/>
      <protection/>
    </xf>
    <xf numFmtId="181" fontId="3" fillId="0" borderId="15" xfId="42" applyNumberFormat="1" applyFont="1" applyFill="1" applyBorder="1" applyAlignment="1">
      <alignment/>
    </xf>
    <xf numFmtId="181" fontId="3" fillId="0" borderId="0" xfId="42" applyNumberFormat="1" applyFont="1" applyFill="1" applyBorder="1" applyAlignment="1">
      <alignment/>
    </xf>
    <xf numFmtId="0" fontId="3" fillId="0" borderId="0" xfId="116" applyFont="1" applyFill="1" applyBorder="1">
      <alignment/>
      <protection/>
    </xf>
    <xf numFmtId="0" fontId="3" fillId="0" borderId="0" xfId="116" applyFont="1" applyBorder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182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/>
    </xf>
    <xf numFmtId="0" fontId="3" fillId="0" borderId="0" xfId="115" applyFont="1">
      <alignment/>
      <protection/>
    </xf>
    <xf numFmtId="169" fontId="3" fillId="0" borderId="0" xfId="0" applyNumberFormat="1" applyFont="1" applyFill="1" applyBorder="1" applyAlignment="1">
      <alignment/>
    </xf>
    <xf numFmtId="173" fontId="4" fillId="0" borderId="11" xfId="42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173" fontId="4" fillId="0" borderId="0" xfId="42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" fontId="0" fillId="0" borderId="0" xfId="0" applyNumberFormat="1" applyAlignment="1">
      <alignment/>
    </xf>
    <xf numFmtId="173" fontId="4" fillId="0" borderId="0" xfId="42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/>
    </xf>
    <xf numFmtId="173" fontId="4" fillId="2" borderId="17" xfId="42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173" fontId="4" fillId="2" borderId="16" xfId="42" applyNumberFormat="1" applyFont="1" applyFill="1" applyBorder="1" applyAlignment="1">
      <alignment horizontal="center"/>
    </xf>
    <xf numFmtId="173" fontId="4" fillId="2" borderId="18" xfId="4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115" applyFont="1">
      <alignment/>
      <protection/>
    </xf>
    <xf numFmtId="173" fontId="0" fillId="0" borderId="0" xfId="42" applyNumberFormat="1" applyFont="1" applyAlignment="1">
      <alignment/>
    </xf>
    <xf numFmtId="173" fontId="0" fillId="0" borderId="0" xfId="0" applyNumberFormat="1" applyAlignment="1">
      <alignment/>
    </xf>
    <xf numFmtId="173" fontId="0" fillId="17" borderId="0" xfId="0" applyNumberFormat="1" applyFill="1" applyAlignment="1">
      <alignment/>
    </xf>
    <xf numFmtId="0" fontId="3" fillId="0" borderId="0" xfId="0" applyFont="1" applyFill="1" applyAlignment="1">
      <alignment/>
    </xf>
    <xf numFmtId="173" fontId="3" fillId="0" borderId="0" xfId="42" applyNumberFormat="1" applyFont="1" applyFill="1" applyAlignment="1">
      <alignment/>
    </xf>
    <xf numFmtId="0" fontId="4" fillId="0" borderId="0" xfId="116" applyFont="1" applyFill="1" applyBorder="1" applyAlignment="1">
      <alignment horizontal="center"/>
      <protection/>
    </xf>
    <xf numFmtId="0" fontId="3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173" fontId="0" fillId="0" borderId="0" xfId="42" applyNumberFormat="1" applyFont="1" applyFill="1" applyAlignment="1">
      <alignment/>
    </xf>
    <xf numFmtId="0" fontId="33" fillId="0" borderId="0" xfId="0" applyFont="1" applyFill="1" applyAlignment="1">
      <alignment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173" fontId="0" fillId="0" borderId="19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173" fontId="1" fillId="0" borderId="0" xfId="42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173" fontId="0" fillId="18" borderId="19" xfId="42" applyNumberFormat="1" applyFont="1" applyFill="1" applyBorder="1" applyAlignment="1">
      <alignment wrapText="1"/>
    </xf>
    <xf numFmtId="173" fontId="0" fillId="18" borderId="19" xfId="42" applyNumberFormat="1" applyFont="1" applyFill="1" applyBorder="1" applyAlignment="1">
      <alignment/>
    </xf>
    <xf numFmtId="173" fontId="0" fillId="18" borderId="19" xfId="42" applyNumberFormat="1" applyFont="1" applyFill="1" applyBorder="1" applyAlignment="1">
      <alignment/>
    </xf>
    <xf numFmtId="0" fontId="0" fillId="18" borderId="19" xfId="0" applyFill="1" applyBorder="1" applyAlignment="1">
      <alignment/>
    </xf>
    <xf numFmtId="9" fontId="3" fillId="0" borderId="0" xfId="119" applyFont="1" applyAlignment="1">
      <alignment/>
    </xf>
    <xf numFmtId="9" fontId="3" fillId="0" borderId="0" xfId="119" applyFont="1" applyAlignment="1">
      <alignment horizontal="right"/>
    </xf>
    <xf numFmtId="9" fontId="4" fillId="0" borderId="10" xfId="119" applyFont="1" applyBorder="1" applyAlignment="1">
      <alignment/>
    </xf>
    <xf numFmtId="9" fontId="4" fillId="0" borderId="11" xfId="119" applyFont="1" applyBorder="1" applyAlignment="1">
      <alignment/>
    </xf>
    <xf numFmtId="173" fontId="3" fillId="0" borderId="15" xfId="42" applyNumberFormat="1" applyFont="1" applyFill="1" applyBorder="1" applyAlignment="1">
      <alignment/>
    </xf>
    <xf numFmtId="0" fontId="4" fillId="2" borderId="17" xfId="0" applyFont="1" applyFill="1" applyBorder="1" applyAlignment="1">
      <alignment horizontal="center" wrapText="1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173" fontId="3" fillId="0" borderId="0" xfId="0" applyNumberFormat="1" applyFont="1" applyFill="1" applyAlignment="1">
      <alignment/>
    </xf>
    <xf numFmtId="174" fontId="4" fillId="0" borderId="11" xfId="42" applyNumberFormat="1" applyFont="1" applyFill="1" applyBorder="1" applyAlignment="1">
      <alignment/>
    </xf>
    <xf numFmtId="174" fontId="3" fillId="0" borderId="0" xfId="0" applyNumberFormat="1" applyFont="1" applyFill="1" applyAlignment="1">
      <alignment/>
    </xf>
    <xf numFmtId="174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81" fontId="4" fillId="0" borderId="20" xfId="42" applyNumberFormat="1" applyFont="1" applyFill="1" applyBorder="1" applyAlignment="1">
      <alignment/>
    </xf>
    <xf numFmtId="181" fontId="34" fillId="0" borderId="0" xfId="42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173" fontId="3" fillId="0" borderId="10" xfId="42" applyNumberFormat="1" applyFont="1" applyFill="1" applyBorder="1" applyAlignment="1">
      <alignment/>
    </xf>
    <xf numFmtId="173" fontId="4" fillId="0" borderId="0" xfId="42" applyNumberFormat="1" applyFont="1" applyFill="1" applyBorder="1" applyAlignment="1">
      <alignment/>
    </xf>
    <xf numFmtId="173" fontId="4" fillId="0" borderId="0" xfId="42" applyNumberFormat="1" applyFont="1" applyFill="1" applyAlignment="1">
      <alignment/>
    </xf>
    <xf numFmtId="0" fontId="3" fillId="0" borderId="0" xfId="115" applyFont="1" applyFill="1">
      <alignment/>
      <protection/>
    </xf>
    <xf numFmtId="0" fontId="4" fillId="0" borderId="0" xfId="115" applyFont="1" applyFill="1">
      <alignment/>
      <protection/>
    </xf>
    <xf numFmtId="0" fontId="0" fillId="0" borderId="0" xfId="0" applyAlignment="1">
      <alignment horizontal="center" vertical="center"/>
    </xf>
    <xf numFmtId="174" fontId="3" fillId="0" borderId="0" xfId="42" applyNumberFormat="1" applyFont="1" applyFill="1" applyBorder="1" applyAlignment="1">
      <alignment/>
    </xf>
    <xf numFmtId="174" fontId="3" fillId="0" borderId="0" xfId="42" applyNumberFormat="1" applyFont="1" applyFill="1" applyAlignment="1">
      <alignment horizontal="right"/>
    </xf>
    <xf numFmtId="9" fontId="3" fillId="0" borderId="0" xfId="119" applyFont="1" applyFill="1" applyAlignment="1">
      <alignment/>
    </xf>
    <xf numFmtId="173" fontId="3" fillId="0" borderId="0" xfId="42" applyNumberFormat="1" applyFont="1" applyFill="1" applyBorder="1" applyAlignment="1">
      <alignment horizontal="right"/>
    </xf>
    <xf numFmtId="173" fontId="3" fillId="0" borderId="0" xfId="42" applyNumberFormat="1" applyFont="1" applyFill="1" applyAlignment="1">
      <alignment horizontal="right"/>
    </xf>
    <xf numFmtId="181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37" fillId="0" borderId="21" xfId="0" applyFont="1" applyFill="1" applyBorder="1" applyAlignment="1">
      <alignment horizontal="center" wrapText="1"/>
    </xf>
    <xf numFmtId="0" fontId="38" fillId="0" borderId="21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173" fontId="37" fillId="0" borderId="0" xfId="42" applyNumberFormat="1" applyFont="1" applyFill="1" applyAlignment="1">
      <alignment horizontal="center" wrapText="1"/>
    </xf>
    <xf numFmtId="173" fontId="37" fillId="0" borderId="0" xfId="0" applyNumberFormat="1" applyFont="1" applyFill="1" applyAlignment="1">
      <alignment horizontal="center" wrapText="1"/>
    </xf>
    <xf numFmtId="0" fontId="37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173" fontId="37" fillId="0" borderId="0" xfId="42" applyNumberFormat="1" applyFont="1" applyFill="1" applyAlignment="1">
      <alignment/>
    </xf>
    <xf numFmtId="173" fontId="37" fillId="0" borderId="0" xfId="0" applyNumberFormat="1" applyFont="1" applyFill="1" applyAlignment="1">
      <alignment/>
    </xf>
    <xf numFmtId="173" fontId="37" fillId="0" borderId="0" xfId="42" applyNumberFormat="1" applyFont="1" applyFill="1" applyAlignment="1">
      <alignment horizontal="right"/>
    </xf>
    <xf numFmtId="174" fontId="37" fillId="0" borderId="0" xfId="42" applyNumberFormat="1" applyFont="1" applyFill="1" applyBorder="1" applyAlignment="1">
      <alignment/>
    </xf>
    <xf numFmtId="181" fontId="37" fillId="0" borderId="0" xfId="0" applyNumberFormat="1" applyFont="1" applyFill="1" applyAlignment="1">
      <alignment/>
    </xf>
    <xf numFmtId="174" fontId="37" fillId="0" borderId="0" xfId="42" applyNumberFormat="1" applyFont="1" applyFill="1" applyAlignment="1">
      <alignment horizontal="right"/>
    </xf>
    <xf numFmtId="0" fontId="38" fillId="0" borderId="0" xfId="0" applyFont="1" applyFill="1" applyAlignment="1">
      <alignment/>
    </xf>
    <xf numFmtId="174" fontId="38" fillId="19" borderId="10" xfId="42" applyNumberFormat="1" applyFont="1" applyFill="1" applyBorder="1" applyAlignment="1">
      <alignment/>
    </xf>
    <xf numFmtId="174" fontId="38" fillId="0" borderId="10" xfId="42" applyNumberFormat="1" applyFont="1" applyFill="1" applyBorder="1" applyAlignment="1">
      <alignment/>
    </xf>
    <xf numFmtId="174" fontId="38" fillId="0" borderId="10" xfId="42" applyNumberFormat="1" applyFont="1" applyFill="1" applyBorder="1" applyAlignment="1">
      <alignment horizontal="right"/>
    </xf>
    <xf numFmtId="174" fontId="37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 horizontal="right"/>
    </xf>
    <xf numFmtId="3" fontId="37" fillId="0" borderId="0" xfId="0" applyNumberFormat="1" applyFont="1" applyFill="1" applyAlignment="1">
      <alignment horizontal="right"/>
    </xf>
    <xf numFmtId="3" fontId="37" fillId="0" borderId="0" xfId="42" applyNumberFormat="1" applyFont="1" applyFill="1" applyAlignment="1">
      <alignment horizontal="right"/>
    </xf>
    <xf numFmtId="174" fontId="37" fillId="0" borderId="0" xfId="0" applyNumberFormat="1" applyFont="1" applyFill="1" applyAlignment="1">
      <alignment/>
    </xf>
    <xf numFmtId="0" fontId="39" fillId="0" borderId="0" xfId="0" applyFont="1" applyAlignment="1">
      <alignment/>
    </xf>
    <xf numFmtId="0" fontId="37" fillId="0" borderId="15" xfId="0" applyFont="1" applyFill="1" applyBorder="1" applyAlignment="1">
      <alignment/>
    </xf>
    <xf numFmtId="173" fontId="37" fillId="19" borderId="10" xfId="42" applyNumberFormat="1" applyFont="1" applyFill="1" applyBorder="1" applyAlignment="1">
      <alignment/>
    </xf>
    <xf numFmtId="173" fontId="37" fillId="0" borderId="10" xfId="42" applyNumberFormat="1" applyFont="1" applyFill="1" applyBorder="1" applyAlignment="1">
      <alignment/>
    </xf>
    <xf numFmtId="0" fontId="37" fillId="0" borderId="0" xfId="0" applyFont="1" applyAlignment="1">
      <alignment/>
    </xf>
    <xf numFmtId="173" fontId="37" fillId="0" borderId="0" xfId="42" applyNumberFormat="1" applyFont="1" applyFill="1" applyBorder="1" applyAlignment="1">
      <alignment/>
    </xf>
    <xf numFmtId="0" fontId="37" fillId="0" borderId="0" xfId="0" applyFont="1" applyFill="1" applyAlignment="1">
      <alignment horizontal="left"/>
    </xf>
    <xf numFmtId="174" fontId="37" fillId="19" borderId="11" xfId="42" applyNumberFormat="1" applyFont="1" applyFill="1" applyBorder="1" applyAlignment="1">
      <alignment/>
    </xf>
    <xf numFmtId="171" fontId="37" fillId="0" borderId="0" xfId="0" applyNumberFormat="1" applyFont="1" applyFill="1" applyAlignment="1">
      <alignment/>
    </xf>
    <xf numFmtId="0" fontId="35" fillId="0" borderId="0" xfId="0" applyFont="1" applyFill="1" applyBorder="1" applyAlignment="1">
      <alignment/>
    </xf>
    <xf numFmtId="0" fontId="36" fillId="0" borderId="0" xfId="116" applyFont="1" applyFill="1" applyBorder="1" applyAlignment="1">
      <alignment horizontal="center"/>
      <protection/>
    </xf>
    <xf numFmtId="173" fontId="3" fillId="20" borderId="0" xfId="42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4" fillId="20" borderId="22" xfId="0" applyFont="1" applyFill="1" applyBorder="1" applyAlignment="1">
      <alignment horizontal="center"/>
    </xf>
    <xf numFmtId="0" fontId="4" fillId="2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4" fontId="37" fillId="0" borderId="0" xfId="0" applyNumberFormat="1" applyFont="1" applyAlignment="1">
      <alignment horizontal="center"/>
    </xf>
    <xf numFmtId="3" fontId="37" fillId="0" borderId="0" xfId="0" applyNumberFormat="1" applyFont="1" applyAlignment="1">
      <alignment/>
    </xf>
    <xf numFmtId="3" fontId="37" fillId="0" borderId="11" xfId="0" applyNumberFormat="1" applyFont="1" applyFill="1" applyBorder="1" applyAlignment="1">
      <alignment/>
    </xf>
    <xf numFmtId="3" fontId="37" fillId="0" borderId="0" xfId="0" applyNumberFormat="1" applyFont="1" applyFill="1" applyAlignment="1">
      <alignment/>
    </xf>
    <xf numFmtId="4" fontId="37" fillId="0" borderId="0" xfId="0" applyNumberFormat="1" applyFont="1" applyFill="1" applyAlignment="1">
      <alignment/>
    </xf>
    <xf numFmtId="3" fontId="37" fillId="0" borderId="0" xfId="0" applyNumberFormat="1" applyFont="1" applyAlignment="1">
      <alignment horizontal="center"/>
    </xf>
    <xf numFmtId="3" fontId="37" fillId="0" borderId="11" xfId="0" applyNumberFormat="1" applyFont="1" applyBorder="1" applyAlignment="1">
      <alignment/>
    </xf>
    <xf numFmtId="4" fontId="37" fillId="0" borderId="0" xfId="0" applyNumberFormat="1" applyFont="1" applyAlignment="1">
      <alignment/>
    </xf>
    <xf numFmtId="174" fontId="38" fillId="19" borderId="10" xfId="42" applyNumberFormat="1" applyFont="1" applyFill="1" applyBorder="1" applyAlignment="1">
      <alignment horizontal="right"/>
    </xf>
    <xf numFmtId="181" fontId="37" fillId="0" borderId="0" xfId="0" applyNumberFormat="1" applyFont="1" applyFill="1" applyAlignment="1">
      <alignment horizontal="right"/>
    </xf>
    <xf numFmtId="0" fontId="3" fillId="19" borderId="0" xfId="0" applyFont="1" applyFill="1" applyBorder="1" applyAlignment="1">
      <alignment/>
    </xf>
    <xf numFmtId="0" fontId="40" fillId="20" borderId="0" xfId="0" applyFont="1" applyFill="1" applyAlignment="1">
      <alignment horizontal="center"/>
    </xf>
    <xf numFmtId="0" fontId="3" fillId="19" borderId="0" xfId="0" applyFont="1" applyFill="1" applyBorder="1" applyAlignment="1">
      <alignment wrapText="1"/>
    </xf>
    <xf numFmtId="0" fontId="3" fillId="19" borderId="0" xfId="0" applyFont="1" applyFill="1" applyAlignment="1">
      <alignment wrapText="1"/>
    </xf>
    <xf numFmtId="173" fontId="3" fillId="19" borderId="0" xfId="0" applyNumberFormat="1" applyFont="1" applyFill="1" applyAlignment="1">
      <alignment wrapText="1"/>
    </xf>
    <xf numFmtId="0" fontId="3" fillId="19" borderId="0" xfId="0" applyFont="1" applyFill="1" applyAlignment="1">
      <alignment/>
    </xf>
    <xf numFmtId="181" fontId="3" fillId="0" borderId="0" xfId="0" applyNumberFormat="1" applyFont="1" applyAlignment="1">
      <alignment/>
    </xf>
    <xf numFmtId="0" fontId="3" fillId="20" borderId="0" xfId="0" applyFont="1" applyFill="1" applyAlignment="1">
      <alignment/>
    </xf>
    <xf numFmtId="174" fontId="38" fillId="0" borderId="0" xfId="42" applyNumberFormat="1" applyFont="1" applyFill="1" applyBorder="1" applyAlignment="1">
      <alignment horizontal="right"/>
    </xf>
    <xf numFmtId="0" fontId="40" fillId="19" borderId="0" xfId="0" applyFont="1" applyFill="1" applyBorder="1" applyAlignment="1">
      <alignment horizontal="center"/>
    </xf>
    <xf numFmtId="174" fontId="3" fillId="0" borderId="15" xfId="42" applyNumberFormat="1" applyFont="1" applyFill="1" applyBorder="1" applyAlignment="1">
      <alignment/>
    </xf>
    <xf numFmtId="0" fontId="40" fillId="20" borderId="0" xfId="0" applyFont="1" applyFill="1" applyBorder="1" applyAlignment="1">
      <alignment horizontal="center"/>
    </xf>
    <xf numFmtId="0" fontId="40" fillId="20" borderId="0" xfId="0" applyFont="1" applyFill="1" applyAlignment="1">
      <alignment horizontal="center"/>
    </xf>
    <xf numFmtId="0" fontId="37" fillId="2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7" fillId="0" borderId="0" xfId="0" applyFont="1" applyFill="1" applyAlignment="1">
      <alignment wrapText="1"/>
    </xf>
    <xf numFmtId="171" fontId="3" fillId="20" borderId="0" xfId="42" applyFont="1" applyFill="1" applyBorder="1" applyAlignment="1">
      <alignment horizontal="center"/>
    </xf>
    <xf numFmtId="15" fontId="3" fillId="20" borderId="0" xfId="42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4" fillId="20" borderId="24" xfId="0" applyFont="1" applyFill="1" applyBorder="1" applyAlignment="1">
      <alignment horizontal="left" vertical="center" wrapText="1"/>
    </xf>
    <xf numFmtId="0" fontId="4" fillId="20" borderId="2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20" borderId="22" xfId="0" applyFont="1" applyFill="1" applyBorder="1" applyAlignment="1">
      <alignment wrapText="1"/>
    </xf>
    <xf numFmtId="0" fontId="30" fillId="0" borderId="13" xfId="0" applyFont="1" applyFill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32" fillId="0" borderId="21" xfId="0" applyFont="1" applyBorder="1" applyAlignment="1">
      <alignment/>
    </xf>
    <xf numFmtId="0" fontId="32" fillId="0" borderId="28" xfId="0" applyFon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173" fontId="3" fillId="19" borderId="0" xfId="42" applyNumberFormat="1" applyFont="1" applyFill="1" applyAlignment="1">
      <alignment/>
    </xf>
    <xf numFmtId="173" fontId="37" fillId="19" borderId="0" xfId="42" applyNumberFormat="1" applyFont="1" applyFill="1" applyAlignment="1">
      <alignment horizontal="center" wrapText="1"/>
    </xf>
    <xf numFmtId="173" fontId="37" fillId="19" borderId="0" xfId="42" applyNumberFormat="1" applyFont="1" applyFill="1" applyAlignment="1">
      <alignment/>
    </xf>
    <xf numFmtId="174" fontId="37" fillId="19" borderId="0" xfId="42" applyNumberFormat="1" applyFont="1" applyFill="1" applyBorder="1" applyAlignment="1">
      <alignment/>
    </xf>
    <xf numFmtId="181" fontId="37" fillId="19" borderId="0" xfId="0" applyNumberFormat="1" applyFont="1" applyFill="1" applyAlignment="1">
      <alignment/>
    </xf>
    <xf numFmtId="174" fontId="37" fillId="19" borderId="0" xfId="42" applyNumberFormat="1" applyFont="1" applyFill="1" applyAlignment="1">
      <alignment horizontal="right"/>
    </xf>
    <xf numFmtId="174" fontId="37" fillId="19" borderId="0" xfId="42" applyNumberFormat="1" applyFont="1" applyFill="1" applyAlignment="1">
      <alignment/>
    </xf>
    <xf numFmtId="3" fontId="37" fillId="19" borderId="0" xfId="0" applyNumberFormat="1" applyFont="1" applyFill="1" applyAlignment="1">
      <alignment horizontal="right"/>
    </xf>
    <xf numFmtId="3" fontId="37" fillId="19" borderId="0" xfId="0" applyNumberFormat="1" applyFont="1" applyFill="1" applyBorder="1" applyAlignment="1">
      <alignment horizontal="right"/>
    </xf>
    <xf numFmtId="3" fontId="37" fillId="19" borderId="0" xfId="42" applyNumberFormat="1" applyFont="1" applyFill="1" applyAlignment="1">
      <alignment horizontal="right"/>
    </xf>
    <xf numFmtId="174" fontId="38" fillId="19" borderId="0" xfId="42" applyNumberFormat="1" applyFont="1" applyFill="1" applyBorder="1" applyAlignment="1">
      <alignment/>
    </xf>
    <xf numFmtId="174" fontId="3" fillId="19" borderId="0" xfId="42" applyNumberFormat="1" applyFont="1" applyFill="1" applyAlignment="1">
      <alignment/>
    </xf>
    <xf numFmtId="9" fontId="42" fillId="0" borderId="0" xfId="119" applyFont="1" applyFill="1" applyAlignment="1">
      <alignment/>
    </xf>
    <xf numFmtId="174" fontId="37" fillId="0" borderId="0" xfId="42" applyNumberFormat="1" applyFont="1" applyFill="1" applyAlignment="1">
      <alignment horizontal="left"/>
    </xf>
  </cellXfs>
  <cellStyles count="1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_make sure its saved" xfId="47"/>
    <cellStyle name="Comma 3" xfId="48"/>
    <cellStyle name="Comma 3 2" xfId="49"/>
    <cellStyle name="Comma 3 3" xfId="50"/>
    <cellStyle name="Comma 3_Management Accounts August 2010" xfId="51"/>
    <cellStyle name="Comma 4" xfId="52"/>
    <cellStyle name="Comma 4 2" xfId="53"/>
    <cellStyle name="Comma 4_Management Accounts August 2010" xfId="54"/>
    <cellStyle name="Comma 5" xfId="55"/>
    <cellStyle name="Comma 6" xfId="56"/>
    <cellStyle name="Comma 7" xfId="57"/>
    <cellStyle name="Comma 8" xfId="58"/>
    <cellStyle name="Currency" xfId="59"/>
    <cellStyle name="Currency [0]" xfId="60"/>
    <cellStyle name="Date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10" xfId="73"/>
    <cellStyle name="Normal 10 2" xfId="74"/>
    <cellStyle name="Normal 10_Prepayments" xfId="75"/>
    <cellStyle name="Normal 11" xfId="76"/>
    <cellStyle name="Normal 11 2" xfId="77"/>
    <cellStyle name="Normal 11_Prepayments" xfId="78"/>
    <cellStyle name="Normal 12" xfId="79"/>
    <cellStyle name="Normal 12 2" xfId="80"/>
    <cellStyle name="Normal 12_Prepayments" xfId="81"/>
    <cellStyle name="Normal 13" xfId="82"/>
    <cellStyle name="Normal 13 2" xfId="83"/>
    <cellStyle name="Normal 13_Prepayments" xfId="84"/>
    <cellStyle name="Normal 14" xfId="85"/>
    <cellStyle name="Normal 15" xfId="86"/>
    <cellStyle name="Normal 2" xfId="87"/>
    <cellStyle name="Normal 2 2" xfId="88"/>
    <cellStyle name="Normal 2 3" xfId="89"/>
    <cellStyle name="Normal 2_Audit CT Comp 2008" xfId="90"/>
    <cellStyle name="Normal 3" xfId="91"/>
    <cellStyle name="Normal 3 2" xfId="92"/>
    <cellStyle name="Normal 3 3" xfId="93"/>
    <cellStyle name="Normal 3_Fees in advance detail" xfId="94"/>
    <cellStyle name="Normal 4" xfId="95"/>
    <cellStyle name="Normal 4 2" xfId="96"/>
    <cellStyle name="Normal 4_Management Accounts August 2010" xfId="97"/>
    <cellStyle name="Normal 5" xfId="98"/>
    <cellStyle name="Normal 5 2" xfId="99"/>
    <cellStyle name="Normal 5 3" xfId="100"/>
    <cellStyle name="Normal 5_Management Accounts August 2010" xfId="101"/>
    <cellStyle name="Normal 6" xfId="102"/>
    <cellStyle name="Normal 6 2" xfId="103"/>
    <cellStyle name="Normal 6 3" xfId="104"/>
    <cellStyle name="Normal 6_Management Accounts August 2010" xfId="105"/>
    <cellStyle name="Normal 7" xfId="106"/>
    <cellStyle name="Normal 7 2" xfId="107"/>
    <cellStyle name="Normal 7_Management Accounts August 2010" xfId="108"/>
    <cellStyle name="Normal 8" xfId="109"/>
    <cellStyle name="Normal 8 2" xfId="110"/>
    <cellStyle name="Normal 8_Prepayments" xfId="111"/>
    <cellStyle name="Normal 9" xfId="112"/>
    <cellStyle name="Normal 9 2" xfId="113"/>
    <cellStyle name="Normal 9_Prepayments" xfId="114"/>
    <cellStyle name="Normal_Bank Rec 08-09" xfId="115"/>
    <cellStyle name="Normal_Sheet1_1" xfId="116"/>
    <cellStyle name="Note" xfId="117"/>
    <cellStyle name="Output" xfId="118"/>
    <cellStyle name="Percent" xfId="119"/>
    <cellStyle name="Percent 2" xfId="120"/>
    <cellStyle name="Percent 2 2" xfId="121"/>
    <cellStyle name="Percent 2 3" xfId="122"/>
    <cellStyle name="Percent 3" xfId="123"/>
    <cellStyle name="Percent 3 2" xfId="124"/>
    <cellStyle name="Percent 4" xfId="125"/>
    <cellStyle name="Title" xfId="126"/>
    <cellStyle name="Total" xfId="127"/>
    <cellStyle name="Warning Tex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198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000066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4</xdr:col>
      <xdr:colOff>400050</xdr:colOff>
      <xdr:row>8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85775"/>
          <a:ext cx="2228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0</xdr:colOff>
      <xdr:row>4</xdr:row>
      <xdr:rowOff>0</xdr:rowOff>
    </xdr:to>
    <xdr:pic>
      <xdr:nvPicPr>
        <xdr:cNvPr id="1" name="Picture 1" descr="75d8479f35d3436897dc768ddb82778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647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3143250</xdr:colOff>
      <xdr:row>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3143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6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2171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62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333375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2209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2047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400050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2228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0</xdr:colOff>
      <xdr:row>4</xdr:row>
      <xdr:rowOff>0</xdr:rowOff>
    </xdr:to>
    <xdr:pic>
      <xdr:nvPicPr>
        <xdr:cNvPr id="1" name="Picture 1" descr="75d8479f35d3436897dc768ddb82778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676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0</xdr:colOff>
      <xdr:row>4</xdr:row>
      <xdr:rowOff>0</xdr:rowOff>
    </xdr:to>
    <xdr:pic>
      <xdr:nvPicPr>
        <xdr:cNvPr id="1" name="Picture 1" descr="75d8479f35d3436897dc768ddb82778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676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K52"/>
  <sheetViews>
    <sheetView zoomScalePageLayoutView="0" workbookViewId="0" topLeftCell="A1">
      <selection activeCell="B12" sqref="B12"/>
    </sheetView>
  </sheetViews>
  <sheetFormatPr defaultColWidth="9.140625" defaultRowHeight="12.75"/>
  <sheetData>
    <row r="6" spans="2:11" ht="12.75">
      <c r="B6" s="2"/>
      <c r="C6" s="2"/>
      <c r="D6" s="2"/>
      <c r="E6" s="2"/>
      <c r="F6" s="2"/>
      <c r="G6" s="2"/>
      <c r="H6" s="2"/>
      <c r="I6" s="2"/>
      <c r="J6" s="2"/>
      <c r="K6" s="2"/>
    </row>
    <row r="7" spans="3:11" ht="12.75">
      <c r="C7" s="19"/>
      <c r="D7" s="19"/>
      <c r="E7" s="19"/>
      <c r="F7" s="19"/>
      <c r="G7" s="19"/>
      <c r="H7" s="19"/>
      <c r="I7" s="19"/>
      <c r="J7" s="19"/>
      <c r="K7" s="19"/>
    </row>
    <row r="8" spans="3:11" ht="12.75">
      <c r="C8" s="19"/>
      <c r="D8" s="19"/>
      <c r="E8" s="19"/>
      <c r="F8" s="19"/>
      <c r="G8" s="19"/>
      <c r="H8" s="19"/>
      <c r="I8" s="19"/>
      <c r="J8" s="19"/>
      <c r="K8" s="19"/>
    </row>
    <row r="9" spans="3:11" ht="12.75">
      <c r="C9" s="19"/>
      <c r="D9" s="19"/>
      <c r="E9" s="19"/>
      <c r="F9" s="19"/>
      <c r="G9" s="19"/>
      <c r="H9" s="19"/>
      <c r="I9" s="19"/>
      <c r="J9" s="19"/>
      <c r="K9" s="19"/>
    </row>
    <row r="10" spans="2:11" ht="18.75">
      <c r="B10" s="173" t="s">
        <v>191</v>
      </c>
      <c r="C10" s="174"/>
      <c r="D10" s="174"/>
      <c r="E10" s="174"/>
      <c r="F10" s="174"/>
      <c r="G10" s="174"/>
      <c r="H10" s="174"/>
      <c r="I10" s="174"/>
      <c r="J10" s="174"/>
      <c r="K10" s="19"/>
    </row>
    <row r="11" spans="2:11" ht="18.75">
      <c r="B11" s="173" t="s">
        <v>308</v>
      </c>
      <c r="C11" s="174"/>
      <c r="D11" s="174"/>
      <c r="E11" s="174"/>
      <c r="F11" s="174"/>
      <c r="G11" s="174"/>
      <c r="H11" s="174"/>
      <c r="I11" s="174"/>
      <c r="J11" s="174"/>
      <c r="K11" s="38"/>
    </row>
    <row r="12" spans="2:11" ht="19.5">
      <c r="B12" s="16"/>
      <c r="C12" s="16"/>
      <c r="D12" s="16"/>
      <c r="E12" s="16"/>
      <c r="F12" s="39"/>
      <c r="G12" s="39"/>
      <c r="H12" s="39"/>
      <c r="I12" s="39"/>
      <c r="J12" s="39"/>
      <c r="K12" s="39"/>
    </row>
    <row r="15" spans="2:10" ht="12.75">
      <c r="B15" s="98"/>
      <c r="C15" s="98"/>
      <c r="D15" s="98"/>
      <c r="E15" s="98"/>
      <c r="F15" s="98"/>
      <c r="G15" s="98"/>
      <c r="H15" s="98"/>
      <c r="I15" s="98"/>
      <c r="J15" s="98"/>
    </row>
    <row r="16" spans="2:10" ht="12.75">
      <c r="B16" s="98"/>
      <c r="C16" s="98"/>
      <c r="D16" s="98"/>
      <c r="E16" s="98"/>
      <c r="F16" s="98"/>
      <c r="G16" s="98"/>
      <c r="H16" s="98"/>
      <c r="I16" s="98"/>
      <c r="J16" s="98"/>
    </row>
    <row r="17" spans="2:10" ht="12.75">
      <c r="B17" s="98"/>
      <c r="C17" s="98"/>
      <c r="D17" s="98"/>
      <c r="E17" s="98"/>
      <c r="F17" s="98"/>
      <c r="G17" s="98"/>
      <c r="H17" s="98"/>
      <c r="I17" s="98"/>
      <c r="J17" s="98"/>
    </row>
    <row r="18" spans="2:10" ht="12.75">
      <c r="B18" s="98"/>
      <c r="C18" s="98"/>
      <c r="D18" s="98"/>
      <c r="E18" s="98"/>
      <c r="F18" s="98"/>
      <c r="G18" s="98"/>
      <c r="H18" s="98"/>
      <c r="I18" s="98"/>
      <c r="J18" s="98"/>
    </row>
    <row r="19" spans="2:10" ht="12.75">
      <c r="B19" s="98"/>
      <c r="C19" s="98"/>
      <c r="D19" s="98"/>
      <c r="E19" s="98"/>
      <c r="F19" s="98"/>
      <c r="G19" s="98"/>
      <c r="H19" s="98"/>
      <c r="I19" s="98"/>
      <c r="J19" s="98"/>
    </row>
    <row r="20" spans="2:10" ht="12.75">
      <c r="B20" s="98"/>
      <c r="C20" s="98"/>
      <c r="D20" s="98"/>
      <c r="E20" s="98"/>
      <c r="F20" s="98"/>
      <c r="G20" s="98"/>
      <c r="H20" s="98"/>
      <c r="I20" s="98"/>
      <c r="J20" s="98"/>
    </row>
    <row r="21" spans="2:10" ht="12.75">
      <c r="B21" s="98"/>
      <c r="C21" s="98"/>
      <c r="D21" s="98"/>
      <c r="E21" s="98"/>
      <c r="F21" s="98"/>
      <c r="G21" s="98"/>
      <c r="H21" s="98"/>
      <c r="I21" s="98"/>
      <c r="J21" s="98"/>
    </row>
    <row r="22" spans="2:10" ht="12.75">
      <c r="B22" s="98"/>
      <c r="C22" s="98"/>
      <c r="D22" s="98"/>
      <c r="E22" s="98"/>
      <c r="F22" s="98"/>
      <c r="G22" s="98"/>
      <c r="H22" s="98"/>
      <c r="I22" s="98"/>
      <c r="J22" s="98"/>
    </row>
    <row r="23" spans="2:10" ht="12.75">
      <c r="B23" s="98"/>
      <c r="C23" s="98"/>
      <c r="D23" s="98"/>
      <c r="E23" s="98"/>
      <c r="F23" s="98"/>
      <c r="G23" s="98"/>
      <c r="H23" s="98"/>
      <c r="I23" s="98"/>
      <c r="J23" s="98"/>
    </row>
    <row r="24" spans="2:10" ht="12.75">
      <c r="B24" s="98"/>
      <c r="C24" s="98"/>
      <c r="D24" s="98"/>
      <c r="E24" s="98"/>
      <c r="F24" s="98"/>
      <c r="G24" s="98"/>
      <c r="H24" s="98"/>
      <c r="I24" s="98"/>
      <c r="J24" s="98"/>
    </row>
    <row r="25" spans="2:10" ht="12.75">
      <c r="B25" s="98"/>
      <c r="C25" s="98"/>
      <c r="D25" s="98"/>
      <c r="E25" s="98"/>
      <c r="F25" s="98"/>
      <c r="G25" s="98"/>
      <c r="H25" s="98"/>
      <c r="I25" s="98"/>
      <c r="J25" s="98"/>
    </row>
    <row r="51" spans="2:9" ht="12.75">
      <c r="B51" s="40"/>
      <c r="H51" s="40"/>
      <c r="I51" s="40"/>
    </row>
    <row r="52" ht="12.75">
      <c r="B52" s="1"/>
    </row>
  </sheetData>
  <sheetProtection/>
  <mergeCells count="2">
    <mergeCell ref="B10:J10"/>
    <mergeCell ref="B11:J11"/>
  </mergeCells>
  <printOptions/>
  <pageMargins left="0.7" right="0.7" top="0.75" bottom="0.75" header="0.3" footer="0.3"/>
  <pageSetup fitToHeight="1" fitToWidth="1" horizontalDpi="600" verticalDpi="600" orientation="portrait" paperSize="9" r:id="rId2"/>
  <headerFooter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workbookViewId="0" topLeftCell="A4">
      <selection activeCell="D11" sqref="D11"/>
    </sheetView>
  </sheetViews>
  <sheetFormatPr defaultColWidth="9.140625" defaultRowHeight="12.75"/>
  <cols>
    <col min="1" max="1" width="25.140625" style="2" customWidth="1"/>
    <col min="2" max="2" width="2.00390625" style="2" customWidth="1"/>
    <col min="3" max="3" width="2.57421875" style="2" customWidth="1"/>
    <col min="4" max="4" width="16.421875" style="2" customWidth="1"/>
    <col min="5" max="5" width="4.421875" style="2" customWidth="1"/>
    <col min="6" max="6" width="17.421875" style="6" customWidth="1"/>
    <col min="7" max="7" width="14.28125" style="6" hidden="1" customWidth="1"/>
    <col min="8" max="8" width="4.421875" style="2" customWidth="1"/>
    <col min="9" max="9" width="15.8515625" style="2" customWidth="1"/>
    <col min="10" max="10" width="9.140625" style="2" customWidth="1"/>
    <col min="11" max="11" width="11.57421875" style="2" bestFit="1" customWidth="1"/>
    <col min="12" max="16384" width="9.140625" style="2" customWidth="1"/>
  </cols>
  <sheetData>
    <row r="1" spans="1:9" ht="18" customHeight="1">
      <c r="A1" s="17"/>
      <c r="B1" s="186" t="s">
        <v>19</v>
      </c>
      <c r="C1" s="187"/>
      <c r="D1" s="187"/>
      <c r="E1" s="187"/>
      <c r="F1" s="187"/>
      <c r="G1" s="187"/>
      <c r="H1" s="187"/>
      <c r="I1" s="188"/>
    </row>
    <row r="2" spans="1:9" ht="19.5">
      <c r="A2" s="15"/>
      <c r="B2" s="189"/>
      <c r="C2" s="190"/>
      <c r="D2" s="190"/>
      <c r="E2" s="190"/>
      <c r="F2" s="190"/>
      <c r="G2" s="190"/>
      <c r="H2" s="190"/>
      <c r="I2" s="191"/>
    </row>
    <row r="3" spans="1:9" ht="8.25" customHeight="1">
      <c r="A3" s="15"/>
      <c r="B3" s="192"/>
      <c r="C3" s="193"/>
      <c r="D3" s="193"/>
      <c r="E3" s="193"/>
      <c r="F3" s="193"/>
      <c r="G3" s="193"/>
      <c r="H3" s="193"/>
      <c r="I3" s="194"/>
    </row>
    <row r="4" spans="1:9" ht="20.25" thickBot="1">
      <c r="A4" s="18"/>
      <c r="B4" s="195" t="s">
        <v>165</v>
      </c>
      <c r="C4" s="196"/>
      <c r="D4" s="196"/>
      <c r="E4" s="196"/>
      <c r="F4" s="196"/>
      <c r="G4" s="196"/>
      <c r="H4" s="196"/>
      <c r="I4" s="197"/>
    </row>
    <row r="5" ht="7.5" customHeight="1" thickBot="1"/>
    <row r="6" spans="4:9" ht="12.75">
      <c r="D6" s="47" t="s">
        <v>9</v>
      </c>
      <c r="F6" s="47" t="s">
        <v>172</v>
      </c>
      <c r="G6" s="4" t="s">
        <v>9</v>
      </c>
      <c r="I6" s="47" t="s">
        <v>9</v>
      </c>
    </row>
    <row r="7" spans="3:9" ht="12.75">
      <c r="C7" s="3"/>
      <c r="D7" s="46" t="s">
        <v>162</v>
      </c>
      <c r="F7" s="44" t="s">
        <v>173</v>
      </c>
      <c r="G7" s="4" t="s">
        <v>10</v>
      </c>
      <c r="I7" s="44" t="s">
        <v>163</v>
      </c>
    </row>
    <row r="8" spans="4:9" ht="13.5" thickBot="1">
      <c r="D8" s="45" t="s">
        <v>7</v>
      </c>
      <c r="F8" s="48" t="s">
        <v>7</v>
      </c>
      <c r="G8" s="4" t="s">
        <v>7</v>
      </c>
      <c r="I8" s="48" t="s">
        <v>7</v>
      </c>
    </row>
    <row r="9" ht="8.25" customHeight="1"/>
    <row r="10" spans="1:3" ht="12.75">
      <c r="A10" s="5" t="s">
        <v>8</v>
      </c>
      <c r="B10" s="5"/>
      <c r="C10" s="5"/>
    </row>
    <row r="11" spans="1:12" ht="12.75">
      <c r="A11" s="2" t="str">
        <f>'P&amp;L Details'!A11</f>
        <v>SHCPP Income</v>
      </c>
      <c r="D11" s="6">
        <f>'Budget Details'!M11</f>
        <v>255444</v>
      </c>
      <c r="F11" s="6">
        <f>'P&amp;L Summary'!C12</f>
        <v>0</v>
      </c>
      <c r="G11" s="6">
        <f>374259+11500</f>
        <v>385759</v>
      </c>
      <c r="I11" s="6" t="e">
        <f>'P&amp;L Summary'!#REF!</f>
        <v>#REF!</v>
      </c>
      <c r="K11" s="6"/>
      <c r="L11" s="9"/>
    </row>
    <row r="12" spans="1:12" ht="12.75">
      <c r="A12" s="2" t="str">
        <f>'P&amp;L Details'!A12</f>
        <v>Dublin City Council- Dublin House</v>
      </c>
      <c r="D12" s="6">
        <f>'Budget Details'!M12</f>
        <v>42660</v>
      </c>
      <c r="F12" s="6">
        <f>'P&amp;L Summary'!C13</f>
        <v>113192</v>
      </c>
      <c r="G12" s="6">
        <v>42665</v>
      </c>
      <c r="I12" s="6" t="e">
        <f>'P&amp;L Summary'!#REF!</f>
        <v>#REF!</v>
      </c>
      <c r="K12" s="6"/>
      <c r="L12" s="9"/>
    </row>
    <row r="13" spans="1:12" ht="12.75">
      <c r="A13" s="2" t="e">
        <f>'P&amp;L Details'!#REF!</f>
        <v>#REF!</v>
      </c>
      <c r="D13" s="6">
        <f>'Budget Details'!M13</f>
        <v>9756</v>
      </c>
      <c r="F13" s="6" t="e">
        <f>'P&amp;L Summary'!#REF!</f>
        <v>#REF!</v>
      </c>
      <c r="G13" s="6">
        <v>11461</v>
      </c>
      <c r="I13" s="6" t="e">
        <f>'P&amp;L Summary'!#REF!</f>
        <v>#REF!</v>
      </c>
      <c r="K13" s="6"/>
      <c r="L13" s="9"/>
    </row>
    <row r="14" spans="1:12" ht="12.75">
      <c r="A14" s="2" t="str">
        <f>'P&amp;L Details'!A13</f>
        <v>Donations and Subscriptions</v>
      </c>
      <c r="D14" s="6">
        <f>'Budget Details'!M14</f>
        <v>2568</v>
      </c>
      <c r="F14" s="6">
        <f>'P&amp;L Summary'!C14</f>
        <v>7248</v>
      </c>
      <c r="G14" s="6">
        <f>19280</f>
        <v>19280</v>
      </c>
      <c r="I14" s="6" t="e">
        <f>'P&amp;L Summary'!#REF!</f>
        <v>#REF!</v>
      </c>
      <c r="K14" s="6"/>
      <c r="L14" s="9"/>
    </row>
    <row r="15" spans="1:12" ht="12.75">
      <c r="A15" s="2" t="str">
        <f>'P&amp;L Details'!A14</f>
        <v>Tusla SLA</v>
      </c>
      <c r="D15" s="6">
        <f>'Budget Details'!M15</f>
        <v>11292</v>
      </c>
      <c r="F15" s="6">
        <f>'P&amp;L Summary'!C16</f>
        <v>20000</v>
      </c>
      <c r="G15" s="6">
        <v>719</v>
      </c>
      <c r="I15" s="6" t="e">
        <f>'P&amp;L Summary'!#REF!</f>
        <v>#REF!</v>
      </c>
      <c r="K15" s="6"/>
      <c r="L15" s="9"/>
    </row>
    <row r="16" spans="1:12" ht="12.75">
      <c r="A16" s="2" t="str">
        <f>'P&amp;L Details'!A15</f>
        <v>Grant income</v>
      </c>
      <c r="D16" s="6">
        <f>'Budget Details'!M16</f>
        <v>0</v>
      </c>
      <c r="F16" s="6">
        <f>'P&amp;L Summary'!C17</f>
        <v>1970</v>
      </c>
      <c r="G16" s="6">
        <v>577</v>
      </c>
      <c r="I16" s="6" t="e">
        <f>'P&amp;L Summary'!#REF!</f>
        <v>#REF!</v>
      </c>
      <c r="K16" s="6"/>
      <c r="L16" s="9"/>
    </row>
    <row r="17" spans="1:12" ht="12.75">
      <c r="A17" s="2" t="str">
        <f>'P&amp;L Details'!A16</f>
        <v>Rental Income - CBC</v>
      </c>
      <c r="D17" s="6">
        <f>'Budget Details'!M17</f>
        <v>0</v>
      </c>
      <c r="F17" s="6">
        <f>'P&amp;L Summary'!C21</f>
        <v>64600</v>
      </c>
      <c r="G17" s="6">
        <v>0</v>
      </c>
      <c r="I17" s="6" t="e">
        <f>'P&amp;L Summary'!#REF!</f>
        <v>#REF!</v>
      </c>
      <c r="K17" s="6"/>
      <c r="L17" s="9"/>
    </row>
    <row r="18" spans="1:12" ht="12.75">
      <c r="A18" s="2" t="str">
        <f>'P&amp;L Details'!A17</f>
        <v>Floating Support</v>
      </c>
      <c r="D18" s="6">
        <f>'Budget Details'!M18</f>
        <v>5004</v>
      </c>
      <c r="F18" s="6">
        <f>'P&amp;L Summary'!C22</f>
        <v>2470</v>
      </c>
      <c r="G18" s="6">
        <v>5075</v>
      </c>
      <c r="I18" s="6" t="e">
        <f>'P&amp;L Summary'!#REF!</f>
        <v>#REF!</v>
      </c>
      <c r="K18" s="6"/>
      <c r="L18" s="9"/>
    </row>
    <row r="19" spans="1:12" ht="12.75">
      <c r="A19" s="2" t="e">
        <f>'P&amp;L Details'!#REF!</f>
        <v>#REF!</v>
      </c>
      <c r="D19" s="6">
        <f>'Budget Details'!M19</f>
        <v>0</v>
      </c>
      <c r="F19" s="6" t="e">
        <f>'P&amp;L Summary'!#REF!</f>
        <v>#REF!</v>
      </c>
      <c r="G19" s="6">
        <v>2603</v>
      </c>
      <c r="I19" s="6" t="e">
        <f>'P&amp;L Summary'!#REF!</f>
        <v>#REF!</v>
      </c>
      <c r="K19" s="6"/>
      <c r="L19" s="9"/>
    </row>
    <row r="20" spans="1:12" ht="12.75">
      <c r="A20" s="2" t="e">
        <f>'P&amp;L Details'!#REF!</f>
        <v>#REF!</v>
      </c>
      <c r="D20" s="6">
        <f>'Budget Details'!M20</f>
        <v>108</v>
      </c>
      <c r="F20" s="6">
        <f>'P&amp;L Summary'!C24</f>
        <v>0</v>
      </c>
      <c r="I20" s="6" t="e">
        <f>'P&amp;L Summary'!#REF!</f>
        <v>#REF!</v>
      </c>
      <c r="K20" s="6"/>
      <c r="L20" s="9"/>
    </row>
    <row r="21" spans="4:9" ht="12.75">
      <c r="D21" s="6"/>
      <c r="I21" s="6"/>
    </row>
    <row r="22" spans="1:9" ht="12.75">
      <c r="A22" s="7" t="s">
        <v>6</v>
      </c>
      <c r="B22" s="7"/>
      <c r="C22" s="7"/>
      <c r="D22" s="8">
        <f>SUM(D11:D20)</f>
        <v>326832</v>
      </c>
      <c r="E22" s="7"/>
      <c r="F22" s="8" t="e">
        <f>SUM(F11:F20)</f>
        <v>#REF!</v>
      </c>
      <c r="G22" s="8">
        <f>SUM(G11:G19)</f>
        <v>468139</v>
      </c>
      <c r="I22" s="8" t="e">
        <f>SUM(I11:I20)</f>
        <v>#REF!</v>
      </c>
    </row>
    <row r="23" ht="12.75">
      <c r="I23" s="6"/>
    </row>
    <row r="24" spans="1:9" ht="12.75">
      <c r="A24" s="5" t="s">
        <v>0</v>
      </c>
      <c r="B24" s="5"/>
      <c r="C24" s="5"/>
      <c r="I24" s="6"/>
    </row>
    <row r="25" spans="1:12" ht="12.75">
      <c r="A25" s="2" t="str">
        <f>'P&amp;L Details'!A25</f>
        <v>Staff Salaries</v>
      </c>
      <c r="D25" s="9">
        <f>'Budget Details'!M25</f>
        <v>262380</v>
      </c>
      <c r="F25" s="6">
        <f>'P&amp;L Summary'!C29</f>
        <v>153898</v>
      </c>
      <c r="G25" s="6">
        <f>194186-G26+9183</f>
        <v>184520</v>
      </c>
      <c r="I25" s="6" t="e">
        <f>'P&amp;L Summary'!#REF!</f>
        <v>#REF!</v>
      </c>
      <c r="J25" s="9"/>
      <c r="K25" s="6">
        <f>D25/4</f>
        <v>65595</v>
      </c>
      <c r="L25" s="9"/>
    </row>
    <row r="26" spans="1:12" ht="12.75">
      <c r="A26" s="2" t="str">
        <f>'P&amp;L Details'!A26</f>
        <v>Employers PRSI</v>
      </c>
      <c r="D26" s="9">
        <f>'Budget Details'!M26</f>
        <v>0</v>
      </c>
      <c r="F26" s="6">
        <f>'P&amp;L Summary'!C30</f>
        <v>16979</v>
      </c>
      <c r="G26" s="6">
        <v>18849</v>
      </c>
      <c r="I26" s="6" t="e">
        <f>'P&amp;L Summary'!#REF!</f>
        <v>#REF!</v>
      </c>
      <c r="J26" s="9"/>
      <c r="K26" s="6">
        <f aca="true" t="shared" si="0" ref="K26:K54">D26/4</f>
        <v>0</v>
      </c>
      <c r="L26" s="9"/>
    </row>
    <row r="27" spans="1:12" ht="12.75">
      <c r="A27" s="2" t="s">
        <v>171</v>
      </c>
      <c r="D27" s="9">
        <f>'Budget Details'!M27</f>
        <v>0</v>
      </c>
      <c r="F27" s="6">
        <v>0</v>
      </c>
      <c r="I27" s="6">
        <v>0</v>
      </c>
      <c r="J27" s="9"/>
      <c r="K27" s="6">
        <f t="shared" si="0"/>
        <v>0</v>
      </c>
      <c r="L27" s="9"/>
    </row>
    <row r="28" spans="1:12" ht="12.75">
      <c r="A28" s="2" t="str">
        <f>'P&amp;L Details'!A28</f>
        <v>Staff Pension</v>
      </c>
      <c r="D28" s="9">
        <f>'Budget Details'!M28</f>
        <v>0</v>
      </c>
      <c r="F28" s="6">
        <f>'P&amp;L Summary'!C31</f>
        <v>1040</v>
      </c>
      <c r="I28" s="6" t="e">
        <f>'P&amp;L Summary'!#REF!</f>
        <v>#REF!</v>
      </c>
      <c r="J28" s="9"/>
      <c r="K28" s="6">
        <f t="shared" si="0"/>
        <v>0</v>
      </c>
      <c r="L28" s="9"/>
    </row>
    <row r="29" spans="1:12" s="54" customFormat="1" ht="12.75">
      <c r="A29" s="2" t="str">
        <f>'P&amp;L Details'!A29</f>
        <v>Recruitment</v>
      </c>
      <c r="D29" s="9">
        <f>'Budget Details'!M29</f>
        <v>0</v>
      </c>
      <c r="F29" s="6">
        <f>'P&amp;L Summary'!C32</f>
        <v>0</v>
      </c>
      <c r="G29" s="55">
        <v>9079</v>
      </c>
      <c r="I29" s="6" t="e">
        <f>'P&amp;L Summary'!#REF!</f>
        <v>#REF!</v>
      </c>
      <c r="J29" s="9"/>
      <c r="K29" s="6">
        <f t="shared" si="0"/>
        <v>0</v>
      </c>
      <c r="L29" s="9"/>
    </row>
    <row r="30" spans="1:12" ht="12.75">
      <c r="A30" s="2" t="str">
        <f>'P&amp;L Details'!A30</f>
        <v>Staff Training</v>
      </c>
      <c r="D30" s="9">
        <f>'Budget Details'!M30</f>
        <v>10200</v>
      </c>
      <c r="F30" s="6">
        <f>'P&amp;L Summary'!C33</f>
        <v>210</v>
      </c>
      <c r="G30" s="6">
        <v>0</v>
      </c>
      <c r="I30" s="6" t="e">
        <f>'P&amp;L Summary'!#REF!</f>
        <v>#REF!</v>
      </c>
      <c r="J30" s="9"/>
      <c r="K30" s="6">
        <f t="shared" si="0"/>
        <v>2550</v>
      </c>
      <c r="L30" s="9"/>
    </row>
    <row r="31" spans="1:12" ht="12.75">
      <c r="A31" s="2" t="str">
        <f>'P&amp;L Details'!A31</f>
        <v>Supervision Expenses</v>
      </c>
      <c r="D31" s="9">
        <f>'Budget Details'!M31</f>
        <v>0</v>
      </c>
      <c r="F31" s="6">
        <f>'P&amp;L Summary'!C35</f>
        <v>0</v>
      </c>
      <c r="G31" s="6">
        <f>14153-G33</f>
        <v>10153</v>
      </c>
      <c r="I31" s="6" t="e">
        <f>'P&amp;L Summary'!#REF!</f>
        <v>#REF!</v>
      </c>
      <c r="J31" s="9"/>
      <c r="K31" s="6">
        <f t="shared" si="0"/>
        <v>0</v>
      </c>
      <c r="L31" s="9"/>
    </row>
    <row r="32" spans="1:12" ht="12.75">
      <c r="A32" s="2" t="str">
        <f>'P&amp;L Details'!A32</f>
        <v>Tuition Fees</v>
      </c>
      <c r="D32" s="9">
        <f>'Budget Details'!M32</f>
        <v>0</v>
      </c>
      <c r="F32" s="6" t="e">
        <f>'P&amp;L Summary'!#REF!</f>
        <v>#REF!</v>
      </c>
      <c r="G32" s="6">
        <v>9725</v>
      </c>
      <c r="I32" s="6" t="e">
        <f>'P&amp;L Summary'!#REF!</f>
        <v>#REF!</v>
      </c>
      <c r="J32" s="9"/>
      <c r="K32" s="6">
        <f t="shared" si="0"/>
        <v>0</v>
      </c>
      <c r="L32" s="9"/>
    </row>
    <row r="33" spans="1:12" ht="12.75">
      <c r="A33" s="2" t="e">
        <f>'P&amp;L Details'!#REF!</f>
        <v>#REF!</v>
      </c>
      <c r="D33" s="9">
        <f>'Budget Details'!M33</f>
        <v>1236</v>
      </c>
      <c r="F33" s="6" t="e">
        <f>'P&amp;L Summary'!#REF!</f>
        <v>#REF!</v>
      </c>
      <c r="G33" s="6">
        <v>4000</v>
      </c>
      <c r="I33" s="6" t="e">
        <f>'P&amp;L Summary'!#REF!</f>
        <v>#REF!</v>
      </c>
      <c r="J33" s="9"/>
      <c r="K33" s="6">
        <f t="shared" si="0"/>
        <v>309</v>
      </c>
      <c r="L33" s="9"/>
    </row>
    <row r="34" spans="1:12" ht="12.75">
      <c r="A34" s="2" t="str">
        <f>'P&amp;L Details'!A33</f>
        <v>Board Meeting Expenses</v>
      </c>
      <c r="D34" s="9">
        <f>'Budget Details'!M34</f>
        <v>0</v>
      </c>
      <c r="F34" s="6">
        <f>'P&amp;L Summary'!C36</f>
        <v>763</v>
      </c>
      <c r="G34" s="6">
        <v>537</v>
      </c>
      <c r="I34" s="6" t="e">
        <f>'P&amp;L Summary'!#REF!</f>
        <v>#REF!</v>
      </c>
      <c r="J34" s="9"/>
      <c r="K34" s="6">
        <f t="shared" si="0"/>
        <v>0</v>
      </c>
      <c r="L34" s="9"/>
    </row>
    <row r="35" spans="1:12" ht="12.75">
      <c r="A35" s="2" t="str">
        <f>'P&amp;L Details'!A34</f>
        <v>Conference Costs</v>
      </c>
      <c r="D35" s="9">
        <f>'Budget Details'!M35</f>
        <v>660</v>
      </c>
      <c r="F35" s="6">
        <f>'P&amp;L Summary'!C37</f>
        <v>0</v>
      </c>
      <c r="G35" s="6">
        <v>0</v>
      </c>
      <c r="I35" s="6" t="e">
        <f>'P&amp;L Summary'!#REF!</f>
        <v>#REF!</v>
      </c>
      <c r="J35" s="9"/>
      <c r="K35" s="6">
        <f t="shared" si="0"/>
        <v>165</v>
      </c>
      <c r="L35" s="9"/>
    </row>
    <row r="36" spans="1:12" ht="12.75">
      <c r="A36" s="2" t="str">
        <f>'P&amp;L Details'!A35</f>
        <v>Rent, rates &amp; facilities mgt</v>
      </c>
      <c r="D36" s="9">
        <f>'Budget Details'!M36</f>
        <v>36060</v>
      </c>
      <c r="F36" s="6">
        <f>'P&amp;L Summary'!C38</f>
        <v>8664</v>
      </c>
      <c r="G36" s="6">
        <v>0</v>
      </c>
      <c r="I36" s="6" t="e">
        <f>'P&amp;L Summary'!#REF!</f>
        <v>#REF!</v>
      </c>
      <c r="J36" s="9"/>
      <c r="K36" s="6">
        <f t="shared" si="0"/>
        <v>9015</v>
      </c>
      <c r="L36" s="9"/>
    </row>
    <row r="37" spans="1:12" ht="12.75">
      <c r="A37" s="2" t="str">
        <f>'P&amp;L Details'!A36</f>
        <v>Heat and Light &amp; cleaning</v>
      </c>
      <c r="D37" s="9">
        <f>'Budget Details'!M37</f>
        <v>7704</v>
      </c>
      <c r="F37" s="6">
        <f>'P&amp;L Summary'!C39</f>
        <v>3349</v>
      </c>
      <c r="G37" s="6">
        <f>59896+1748</f>
        <v>61644</v>
      </c>
      <c r="I37" s="6" t="e">
        <f>'P&amp;L Summary'!#REF!</f>
        <v>#REF!</v>
      </c>
      <c r="J37" s="9"/>
      <c r="K37" s="6">
        <f t="shared" si="0"/>
        <v>1926</v>
      </c>
      <c r="L37" s="9"/>
    </row>
    <row r="38" spans="1:12" ht="12.75">
      <c r="A38" s="2" t="str">
        <f>'P&amp;L Details'!A37</f>
        <v>Staff/Volunteer event costs</v>
      </c>
      <c r="D38" s="9">
        <f>'Budget Details'!M38</f>
        <v>804</v>
      </c>
      <c r="F38" s="6">
        <f>'P&amp;L Summary'!C40</f>
        <v>322</v>
      </c>
      <c r="G38" s="6">
        <f>5226+2183</f>
        <v>7409</v>
      </c>
      <c r="I38" s="6" t="e">
        <f>'P&amp;L Summary'!#REF!</f>
        <v>#REF!</v>
      </c>
      <c r="J38" s="9"/>
      <c r="K38" s="6">
        <f t="shared" si="0"/>
        <v>201</v>
      </c>
      <c r="L38" s="9"/>
    </row>
    <row r="39" spans="1:12" ht="12.75">
      <c r="A39" s="2" t="str">
        <f>'P&amp;L Details'!A38</f>
        <v>Promotional Literature</v>
      </c>
      <c r="D39" s="9">
        <f>'Budget Details'!M39</f>
        <v>3096</v>
      </c>
      <c r="F39" s="6" t="e">
        <f>'P&amp;L Summary'!#REF!</f>
        <v>#REF!</v>
      </c>
      <c r="G39" s="6">
        <f>157+510+6637</f>
        <v>7304</v>
      </c>
      <c r="I39" s="6" t="e">
        <f>'P&amp;L Summary'!#REF!</f>
        <v>#REF!</v>
      </c>
      <c r="J39" s="9"/>
      <c r="K39" s="6">
        <f t="shared" si="0"/>
        <v>774</v>
      </c>
      <c r="L39" s="9"/>
    </row>
    <row r="40" spans="1:12" ht="12.75">
      <c r="A40" s="2" t="str">
        <f>'P&amp;L Details'!A41</f>
        <v>Repairs</v>
      </c>
      <c r="D40" s="9">
        <f>'Budget Details'!M40</f>
        <v>2496</v>
      </c>
      <c r="F40" s="6">
        <f>'P&amp;L Summary'!C41</f>
        <v>1195</v>
      </c>
      <c r="G40" s="6">
        <v>1282</v>
      </c>
      <c r="I40" s="6" t="e">
        <f>'P&amp;L Summary'!#REF!</f>
        <v>#REF!</v>
      </c>
      <c r="J40" s="9"/>
      <c r="K40" s="6">
        <f t="shared" si="0"/>
        <v>624</v>
      </c>
      <c r="L40" s="9"/>
    </row>
    <row r="41" spans="1:12" ht="12.75">
      <c r="A41" s="2" t="str">
        <f>'P&amp;L Details'!A42</f>
        <v>Computer Costs</v>
      </c>
      <c r="D41" s="9">
        <f>'Budget Details'!M41</f>
        <v>600</v>
      </c>
      <c r="F41" s="6">
        <f>'P&amp;L Summary'!C43</f>
        <v>3647</v>
      </c>
      <c r="G41" s="6">
        <f>831+5842</f>
        <v>6673</v>
      </c>
      <c r="I41" s="6" t="e">
        <f>'P&amp;L Summary'!#REF!</f>
        <v>#REF!</v>
      </c>
      <c r="J41" s="9"/>
      <c r="K41" s="6">
        <f t="shared" si="0"/>
        <v>150</v>
      </c>
      <c r="L41" s="9"/>
    </row>
    <row r="42" spans="1:12" ht="12.75">
      <c r="A42" s="2" t="str">
        <f>'P&amp;L Details'!A44</f>
        <v>Printing , stationery, postage</v>
      </c>
      <c r="D42" s="9">
        <f>'Budget Details'!M42</f>
        <v>5448</v>
      </c>
      <c r="F42" s="6">
        <f>'P&amp;L Summary'!C44</f>
        <v>1832</v>
      </c>
      <c r="G42" s="6">
        <f>1979+513</f>
        <v>2492</v>
      </c>
      <c r="I42" s="6" t="e">
        <f>'P&amp;L Summary'!#REF!</f>
        <v>#REF!</v>
      </c>
      <c r="J42" s="9"/>
      <c r="K42" s="6">
        <f t="shared" si="0"/>
        <v>1362</v>
      </c>
      <c r="L42" s="9"/>
    </row>
    <row r="43" spans="1:12" ht="12.75">
      <c r="A43" s="2" t="str">
        <f>'P&amp;L Details'!A45</f>
        <v>Telephone and Internet</v>
      </c>
      <c r="D43" s="9">
        <f>'Budget Details'!M43</f>
        <v>5652</v>
      </c>
      <c r="F43" s="6">
        <f>'P&amp;L Summary'!C45</f>
        <v>3931</v>
      </c>
      <c r="G43" s="6">
        <v>3975</v>
      </c>
      <c r="I43" s="6" t="e">
        <f>'P&amp;L Summary'!#REF!</f>
        <v>#REF!</v>
      </c>
      <c r="J43" s="9"/>
      <c r="K43" s="6">
        <f t="shared" si="0"/>
        <v>1413</v>
      </c>
      <c r="L43" s="9"/>
    </row>
    <row r="44" spans="1:12" ht="12.75">
      <c r="A44" s="2" t="str">
        <f>'P&amp;L Details'!A46</f>
        <v>Bank Charges</v>
      </c>
      <c r="D44" s="9">
        <f>'Budget Details'!M44</f>
        <v>264</v>
      </c>
      <c r="F44" s="6">
        <f>'P&amp;L Summary'!C46</f>
        <v>339</v>
      </c>
      <c r="G44" s="6">
        <f>13337+1292</f>
        <v>14629</v>
      </c>
      <c r="I44" s="6" t="e">
        <f>'P&amp;L Summary'!#REF!</f>
        <v>#REF!</v>
      </c>
      <c r="J44" s="9"/>
      <c r="K44" s="6">
        <f t="shared" si="0"/>
        <v>66</v>
      </c>
      <c r="L44" s="9"/>
    </row>
    <row r="45" spans="1:12" ht="12.75">
      <c r="A45" s="2" t="str">
        <f>'P&amp;L Details'!A47</f>
        <v>Insurance</v>
      </c>
      <c r="D45" s="9">
        <f>'Budget Details'!M45</f>
        <v>0</v>
      </c>
      <c r="F45" s="6">
        <f>'P&amp;L Summary'!C48</f>
        <v>8072</v>
      </c>
      <c r="G45" s="6">
        <v>423</v>
      </c>
      <c r="I45" s="6" t="e">
        <f>'P&amp;L Summary'!#REF!</f>
        <v>#REF!</v>
      </c>
      <c r="J45" s="9"/>
      <c r="K45" s="6">
        <f t="shared" si="0"/>
        <v>0</v>
      </c>
      <c r="L45" s="9"/>
    </row>
    <row r="46" spans="1:12" ht="12.75">
      <c r="A46" s="2" t="e">
        <f>'P&amp;L Details'!#REF!</f>
        <v>#REF!</v>
      </c>
      <c r="D46" s="9">
        <f>'Budget Details'!M46</f>
        <v>2256</v>
      </c>
      <c r="F46" s="6">
        <f>'P&amp;L Summary'!C49</f>
        <v>48</v>
      </c>
      <c r="G46" s="6">
        <f>530+12783</f>
        <v>13313</v>
      </c>
      <c r="I46" s="6" t="e">
        <f>'P&amp;L Summary'!#REF!</f>
        <v>#REF!</v>
      </c>
      <c r="J46" s="9"/>
      <c r="K46" s="6">
        <f t="shared" si="0"/>
        <v>564</v>
      </c>
      <c r="L46" s="9"/>
    </row>
    <row r="47" spans="1:12" ht="12.75">
      <c r="A47" s="54" t="str">
        <f>'P&amp;L Details'!A59</f>
        <v>Travel and Subsistence</v>
      </c>
      <c r="D47" s="9">
        <f>'Budget Details'!M47</f>
        <v>8304</v>
      </c>
      <c r="F47" s="6">
        <f>'P&amp;L Summary'!C60</f>
        <v>2589</v>
      </c>
      <c r="G47" s="6">
        <f>4758+416+9000+245</f>
        <v>14419</v>
      </c>
      <c r="I47" s="6" t="e">
        <f>'P&amp;L Summary'!#REF!</f>
        <v>#REF!</v>
      </c>
      <c r="J47" s="9"/>
      <c r="K47" s="6">
        <f t="shared" si="0"/>
        <v>2076</v>
      </c>
      <c r="L47" s="9"/>
    </row>
    <row r="48" spans="1:12" ht="12.75">
      <c r="A48" s="54" t="str">
        <f>'P&amp;L Details'!A60</f>
        <v>Membership and Subscriptions</v>
      </c>
      <c r="D48" s="9">
        <f>'Budget Details'!M48</f>
        <v>1248</v>
      </c>
      <c r="F48" s="6">
        <f>'P&amp;L Summary'!C61</f>
        <v>483</v>
      </c>
      <c r="G48" s="6">
        <f>8058+902</f>
        <v>8960</v>
      </c>
      <c r="I48" s="6" t="e">
        <f>'P&amp;L Summary'!#REF!</f>
        <v>#REF!</v>
      </c>
      <c r="J48" s="9"/>
      <c r="K48" s="6">
        <f t="shared" si="0"/>
        <v>312</v>
      </c>
      <c r="L48" s="9"/>
    </row>
    <row r="49" spans="1:12" ht="12.75">
      <c r="A49" s="54" t="str">
        <f>'P&amp;L Details'!A61</f>
        <v>Advertising </v>
      </c>
      <c r="D49" s="9">
        <f>'Budget Details'!M49</f>
        <v>9756</v>
      </c>
      <c r="F49" s="6">
        <f>'P&amp;L Summary'!C63</f>
        <v>0</v>
      </c>
      <c r="G49" s="6">
        <v>0</v>
      </c>
      <c r="I49" s="6" t="e">
        <f>'P&amp;L Summary'!#REF!</f>
        <v>#REF!</v>
      </c>
      <c r="J49" s="9"/>
      <c r="K49" s="6">
        <f t="shared" si="0"/>
        <v>2439</v>
      </c>
      <c r="L49" s="9"/>
    </row>
    <row r="50" spans="1:12" ht="12.75">
      <c r="A50" s="54" t="e">
        <f>'P&amp;L Details'!#REF!</f>
        <v>#REF!</v>
      </c>
      <c r="D50" s="9">
        <f>'Budget Details'!M50</f>
        <v>0</v>
      </c>
      <c r="F50" s="6">
        <f>'P&amp;L Summary'!C64</f>
        <v>3815</v>
      </c>
      <c r="G50" s="6">
        <v>67191</v>
      </c>
      <c r="I50" s="6" t="e">
        <f>'P&amp;L Summary'!#REF!</f>
        <v>#REF!</v>
      </c>
      <c r="J50" s="9"/>
      <c r="K50" s="6">
        <f t="shared" si="0"/>
        <v>0</v>
      </c>
      <c r="L50" s="9"/>
    </row>
    <row r="51" spans="1:12" ht="12.75">
      <c r="A51" s="54" t="str">
        <f>'P&amp;L Details'!A62</f>
        <v>Professional and Accountant Fees</v>
      </c>
      <c r="D51" s="9">
        <f>'Budget Details'!M51</f>
        <v>0</v>
      </c>
      <c r="F51" s="6">
        <f>'P&amp;L Summary'!C65</f>
        <v>6226</v>
      </c>
      <c r="G51" s="6">
        <f>10064-G52+6452</f>
        <v>7516</v>
      </c>
      <c r="I51" s="6" t="e">
        <f>'P&amp;L Summary'!#REF!</f>
        <v>#REF!</v>
      </c>
      <c r="J51" s="9"/>
      <c r="K51" s="6">
        <f t="shared" si="0"/>
        <v>0</v>
      </c>
      <c r="L51" s="9"/>
    </row>
    <row r="52" spans="1:12" ht="12.75">
      <c r="A52" s="54" t="str">
        <f>'P&amp;L Details'!A63</f>
        <v>Audit Fees</v>
      </c>
      <c r="D52" s="9">
        <f>'Budget Details'!M52</f>
        <v>0</v>
      </c>
      <c r="F52" s="6">
        <f>'P&amp;L Summary'!C67</f>
        <v>2500</v>
      </c>
      <c r="G52" s="6">
        <v>9000</v>
      </c>
      <c r="I52" s="6" t="e">
        <f>'P&amp;L Summary'!#REF!</f>
        <v>#REF!</v>
      </c>
      <c r="J52" s="9"/>
      <c r="K52" s="6">
        <f t="shared" si="0"/>
        <v>0</v>
      </c>
      <c r="L52" s="9"/>
    </row>
    <row r="53" spans="1:12" ht="12.75">
      <c r="A53" s="54" t="e">
        <f>'P&amp;L Details'!#REF!</f>
        <v>#REF!</v>
      </c>
      <c r="D53" s="9">
        <f>'Budget Details'!M53</f>
        <v>0</v>
      </c>
      <c r="F53" s="6" t="e">
        <f>'P&amp;L Summary'!#REF!</f>
        <v>#REF!</v>
      </c>
      <c r="G53" s="6">
        <v>3327</v>
      </c>
      <c r="I53" s="6" t="e">
        <f>'P&amp;L Summary'!#REF!</f>
        <v>#REF!</v>
      </c>
      <c r="J53" s="9"/>
      <c r="K53" s="6">
        <f t="shared" si="0"/>
        <v>0</v>
      </c>
      <c r="L53" s="9"/>
    </row>
    <row r="54" spans="1:12" ht="12.75">
      <c r="A54" s="54" t="str">
        <f>'P&amp;L Details'!A64</f>
        <v>Depreciation Charge</v>
      </c>
      <c r="D54" s="9">
        <f>'Budget Details'!M54</f>
        <v>4932</v>
      </c>
      <c r="F54" s="6">
        <f>'P&amp;L Summary'!C68</f>
        <v>4367</v>
      </c>
      <c r="I54" s="6" t="e">
        <f>'P&amp;L Summary'!#REF!</f>
        <v>#REF!</v>
      </c>
      <c r="J54" s="9"/>
      <c r="K54" s="6">
        <f t="shared" si="0"/>
        <v>1233</v>
      </c>
      <c r="L54" s="9"/>
    </row>
    <row r="56" spans="1:9" ht="12.75">
      <c r="A56" s="7" t="s">
        <v>1</v>
      </c>
      <c r="B56" s="7"/>
      <c r="C56" s="7"/>
      <c r="D56" s="8">
        <f>SUM(D25:D55)</f>
        <v>363096</v>
      </c>
      <c r="E56" s="7"/>
      <c r="F56" s="8" t="e">
        <f>SUM(F25:F55)</f>
        <v>#REF!</v>
      </c>
      <c r="G56" s="8">
        <f>SUM(G25:G53)</f>
        <v>466420</v>
      </c>
      <c r="I56" s="8" t="e">
        <f>SUM(I25:I55)</f>
        <v>#REF!</v>
      </c>
    </row>
    <row r="57" ht="12.75">
      <c r="D57" s="6"/>
    </row>
    <row r="58" spans="1:9" ht="13.5" thickBot="1">
      <c r="A58" s="7" t="s">
        <v>179</v>
      </c>
      <c r="B58" s="7"/>
      <c r="C58" s="7"/>
      <c r="D58" s="10">
        <f>D22-D56</f>
        <v>-36264</v>
      </c>
      <c r="E58" s="7"/>
      <c r="F58" s="10" t="e">
        <f>F22-F56</f>
        <v>#REF!</v>
      </c>
      <c r="G58" s="10">
        <f>G22-G56</f>
        <v>1719</v>
      </c>
      <c r="I58" s="10" t="e">
        <f>I22-I56</f>
        <v>#REF!</v>
      </c>
    </row>
    <row r="59" ht="13.5" thickTop="1"/>
  </sheetData>
  <sheetProtection/>
  <mergeCells count="4">
    <mergeCell ref="B1:I1"/>
    <mergeCell ref="B2:I2"/>
    <mergeCell ref="B3:I3"/>
    <mergeCell ref="B4:I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workbookViewId="0" topLeftCell="A1">
      <selection activeCell="D25" sqref="D25"/>
    </sheetView>
  </sheetViews>
  <sheetFormatPr defaultColWidth="9.140625" defaultRowHeight="12.75"/>
  <cols>
    <col min="1" max="1" width="25.140625" style="2" customWidth="1"/>
    <col min="2" max="2" width="2.00390625" style="2" customWidth="1"/>
    <col min="3" max="3" width="2.57421875" style="2" customWidth="1"/>
    <col min="4" max="4" width="16.421875" style="2" customWidth="1"/>
    <col min="5" max="5" width="1.8515625" style="2" customWidth="1"/>
    <col min="6" max="6" width="16.28125" style="6" customWidth="1"/>
    <col min="7" max="7" width="14.28125" style="6" hidden="1" customWidth="1"/>
    <col min="8" max="8" width="1.8515625" style="2" customWidth="1"/>
    <col min="9" max="9" width="15.8515625" style="2" customWidth="1"/>
    <col min="10" max="10" width="1.8515625" style="2" customWidth="1"/>
    <col min="11" max="11" width="10.421875" style="2" customWidth="1"/>
    <col min="12" max="12" width="9.140625" style="2" customWidth="1"/>
    <col min="13" max="13" width="11.57421875" style="2" bestFit="1" customWidth="1"/>
    <col min="14" max="16384" width="9.140625" style="2" customWidth="1"/>
  </cols>
  <sheetData>
    <row r="1" spans="1:11" ht="18" customHeight="1">
      <c r="A1" s="17"/>
      <c r="B1" s="186" t="s">
        <v>19</v>
      </c>
      <c r="C1" s="187"/>
      <c r="D1" s="187"/>
      <c r="E1" s="187"/>
      <c r="F1" s="187"/>
      <c r="G1" s="187"/>
      <c r="H1" s="187"/>
      <c r="I1" s="187"/>
      <c r="J1" s="187"/>
      <c r="K1" s="188"/>
    </row>
    <row r="2" spans="1:11" ht="19.5">
      <c r="A2" s="15"/>
      <c r="B2" s="189"/>
      <c r="C2" s="190"/>
      <c r="D2" s="190"/>
      <c r="E2" s="190"/>
      <c r="F2" s="190"/>
      <c r="G2" s="190"/>
      <c r="H2" s="190"/>
      <c r="I2" s="190"/>
      <c r="J2" s="190"/>
      <c r="K2" s="191"/>
    </row>
    <row r="3" spans="1:11" ht="8.25" customHeight="1">
      <c r="A3" s="15"/>
      <c r="B3" s="192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20.25" thickBot="1">
      <c r="A4" s="18"/>
      <c r="B4" s="195" t="s">
        <v>175</v>
      </c>
      <c r="C4" s="196"/>
      <c r="D4" s="196"/>
      <c r="E4" s="196"/>
      <c r="F4" s="196"/>
      <c r="G4" s="196"/>
      <c r="H4" s="196"/>
      <c r="I4" s="196"/>
      <c r="J4" s="196"/>
      <c r="K4" s="197"/>
    </row>
    <row r="5" ht="7.5" customHeight="1" thickBot="1"/>
    <row r="6" spans="4:11" ht="12.75">
      <c r="D6" s="47" t="s">
        <v>9</v>
      </c>
      <c r="F6" s="47" t="s">
        <v>172</v>
      </c>
      <c r="G6" s="4" t="s">
        <v>9</v>
      </c>
      <c r="I6" s="47"/>
      <c r="K6" s="47"/>
    </row>
    <row r="7" spans="3:11" ht="12.75">
      <c r="C7" s="3"/>
      <c r="D7" s="46" t="s">
        <v>162</v>
      </c>
      <c r="F7" s="44" t="s">
        <v>173</v>
      </c>
      <c r="G7" s="4" t="s">
        <v>10</v>
      </c>
      <c r="I7" s="44" t="s">
        <v>11</v>
      </c>
      <c r="K7" s="44" t="s">
        <v>11</v>
      </c>
    </row>
    <row r="8" spans="4:11" ht="13.5" thickBot="1">
      <c r="D8" s="45" t="s">
        <v>7</v>
      </c>
      <c r="F8" s="48" t="s">
        <v>7</v>
      </c>
      <c r="G8" s="4" t="s">
        <v>7</v>
      </c>
      <c r="I8" s="48" t="s">
        <v>7</v>
      </c>
      <c r="K8" s="48" t="s">
        <v>174</v>
      </c>
    </row>
    <row r="9" ht="8.25" customHeight="1"/>
    <row r="10" spans="1:3" ht="12.75">
      <c r="A10" s="5" t="s">
        <v>8</v>
      </c>
      <c r="B10" s="5"/>
      <c r="C10" s="5"/>
    </row>
    <row r="11" spans="1:14" ht="12.75">
      <c r="A11" s="2" t="str">
        <f>'P&amp;L Details'!A11</f>
        <v>SHCPP Income</v>
      </c>
      <c r="D11" s="6">
        <f>'Budget Details'!M11</f>
        <v>255444</v>
      </c>
      <c r="F11" s="6">
        <f>'P&amp;L Summary'!C12</f>
        <v>0</v>
      </c>
      <c r="G11" s="6">
        <f>374259+11500</f>
        <v>385759</v>
      </c>
      <c r="I11" s="6">
        <f aca="true" t="shared" si="0" ref="I11:I20">D11-F11</f>
        <v>255444</v>
      </c>
      <c r="K11" s="77" t="e">
        <f>I11/F11</f>
        <v>#DIV/0!</v>
      </c>
      <c r="M11" s="6"/>
      <c r="N11" s="9"/>
    </row>
    <row r="12" spans="1:14" ht="12.75">
      <c r="A12" s="2" t="str">
        <f>'P&amp;L Details'!A12</f>
        <v>Dublin City Council- Dublin House</v>
      </c>
      <c r="D12" s="6">
        <f>'Budget Details'!M12</f>
        <v>42660</v>
      </c>
      <c r="F12" s="6">
        <f>'P&amp;L Summary'!C13</f>
        <v>113192</v>
      </c>
      <c r="G12" s="6">
        <v>42665</v>
      </c>
      <c r="I12" s="12">
        <f t="shared" si="0"/>
        <v>-70532</v>
      </c>
      <c r="K12" s="77">
        <f aca="true" t="shared" si="1" ref="K12:K20">I12/F12</f>
        <v>-0.6231182415718425</v>
      </c>
      <c r="M12" s="6"/>
      <c r="N12" s="9"/>
    </row>
    <row r="13" spans="1:14" ht="12.75">
      <c r="A13" s="2" t="e">
        <f>'P&amp;L Details'!#REF!</f>
        <v>#REF!</v>
      </c>
      <c r="D13" s="6">
        <f>'Budget Details'!M13</f>
        <v>9756</v>
      </c>
      <c r="F13" s="6" t="e">
        <f>'P&amp;L Summary'!#REF!</f>
        <v>#REF!</v>
      </c>
      <c r="G13" s="6">
        <v>11461</v>
      </c>
      <c r="I13" s="6" t="e">
        <f t="shared" si="0"/>
        <v>#REF!</v>
      </c>
      <c r="K13" s="77" t="e">
        <f t="shared" si="1"/>
        <v>#REF!</v>
      </c>
      <c r="M13" s="6"/>
      <c r="N13" s="9"/>
    </row>
    <row r="14" spans="1:14" ht="12.75">
      <c r="A14" s="2" t="str">
        <f>'P&amp;L Details'!A13</f>
        <v>Donations and Subscriptions</v>
      </c>
      <c r="D14" s="6">
        <f>'Budget Details'!M14</f>
        <v>2568</v>
      </c>
      <c r="F14" s="6">
        <f>'P&amp;L Summary'!C14</f>
        <v>7248</v>
      </c>
      <c r="G14" s="6">
        <f>19280</f>
        <v>19280</v>
      </c>
      <c r="I14" s="6">
        <f t="shared" si="0"/>
        <v>-4680</v>
      </c>
      <c r="K14" s="77">
        <f t="shared" si="1"/>
        <v>-0.6456953642384106</v>
      </c>
      <c r="M14" s="6"/>
      <c r="N14" s="9"/>
    </row>
    <row r="15" spans="1:14" ht="12.75">
      <c r="A15" s="2" t="str">
        <f>'P&amp;L Details'!A14</f>
        <v>Tusla SLA</v>
      </c>
      <c r="D15" s="6">
        <f>'Budget Details'!M15</f>
        <v>11292</v>
      </c>
      <c r="F15" s="6">
        <f>'P&amp;L Summary'!C16</f>
        <v>20000</v>
      </c>
      <c r="G15" s="6">
        <v>719</v>
      </c>
      <c r="I15" s="12">
        <f t="shared" si="0"/>
        <v>-8708</v>
      </c>
      <c r="K15" s="77">
        <f t="shared" si="1"/>
        <v>-0.4354</v>
      </c>
      <c r="M15" s="6"/>
      <c r="N15" s="9"/>
    </row>
    <row r="16" spans="1:14" ht="12.75">
      <c r="A16" s="2" t="str">
        <f>'P&amp;L Details'!A15</f>
        <v>Grant income</v>
      </c>
      <c r="D16" s="6">
        <f>'Budget Details'!M16</f>
        <v>0</v>
      </c>
      <c r="F16" s="6">
        <f>'P&amp;L Summary'!C17</f>
        <v>1970</v>
      </c>
      <c r="G16" s="6">
        <v>577</v>
      </c>
      <c r="I16" s="6">
        <f t="shared" si="0"/>
        <v>-1970</v>
      </c>
      <c r="K16" s="77">
        <f t="shared" si="1"/>
        <v>-1</v>
      </c>
      <c r="M16" s="6"/>
      <c r="N16" s="9"/>
    </row>
    <row r="17" spans="1:14" ht="12.75">
      <c r="A17" s="2" t="str">
        <f>'P&amp;L Details'!A16</f>
        <v>Rental Income - CBC</v>
      </c>
      <c r="D17" s="6">
        <f>'Budget Details'!M17</f>
        <v>0</v>
      </c>
      <c r="F17" s="6">
        <f>'P&amp;L Summary'!C21</f>
        <v>64600</v>
      </c>
      <c r="G17" s="6">
        <v>0</v>
      </c>
      <c r="I17" s="6">
        <f t="shared" si="0"/>
        <v>-64600</v>
      </c>
      <c r="K17" s="77">
        <f t="shared" si="1"/>
        <v>-1</v>
      </c>
      <c r="M17" s="6"/>
      <c r="N17" s="9"/>
    </row>
    <row r="18" spans="1:14" ht="12.75">
      <c r="A18" s="2" t="str">
        <f>'P&amp;L Details'!A17</f>
        <v>Floating Support</v>
      </c>
      <c r="D18" s="6">
        <f>'Budget Details'!M18</f>
        <v>5004</v>
      </c>
      <c r="F18" s="6">
        <f>'P&amp;L Summary'!C22</f>
        <v>2470</v>
      </c>
      <c r="G18" s="6">
        <v>5075</v>
      </c>
      <c r="I18" s="12">
        <f t="shared" si="0"/>
        <v>2534</v>
      </c>
      <c r="K18" s="77">
        <f t="shared" si="1"/>
        <v>1.025910931174089</v>
      </c>
      <c r="M18" s="6"/>
      <c r="N18" s="9"/>
    </row>
    <row r="19" spans="1:14" ht="12.75">
      <c r="A19" s="2" t="e">
        <f>'P&amp;L Details'!#REF!</f>
        <v>#REF!</v>
      </c>
      <c r="D19" s="6">
        <f>'Budget Details'!M19</f>
        <v>0</v>
      </c>
      <c r="F19" s="6" t="e">
        <f>'P&amp;L Summary'!#REF!</f>
        <v>#REF!</v>
      </c>
      <c r="G19" s="6">
        <v>2603</v>
      </c>
      <c r="I19" s="6" t="e">
        <f t="shared" si="0"/>
        <v>#REF!</v>
      </c>
      <c r="K19" s="77" t="e">
        <f t="shared" si="1"/>
        <v>#REF!</v>
      </c>
      <c r="M19" s="6"/>
      <c r="N19" s="9"/>
    </row>
    <row r="20" spans="1:14" ht="12.75">
      <c r="A20" s="2" t="e">
        <f>'P&amp;L Details'!#REF!</f>
        <v>#REF!</v>
      </c>
      <c r="D20" s="6">
        <f>'Budget Details'!M20</f>
        <v>108</v>
      </c>
      <c r="F20" s="6">
        <f>'P&amp;L Summary'!C24</f>
        <v>0</v>
      </c>
      <c r="I20" s="12">
        <f t="shared" si="0"/>
        <v>108</v>
      </c>
      <c r="K20" s="77" t="e">
        <f t="shared" si="1"/>
        <v>#DIV/0!</v>
      </c>
      <c r="M20" s="6"/>
      <c r="N20" s="9"/>
    </row>
    <row r="21" spans="4:11" ht="12.75">
      <c r="D21" s="6"/>
      <c r="I21" s="6"/>
      <c r="K21" s="6"/>
    </row>
    <row r="22" spans="1:11" ht="12.75">
      <c r="A22" s="7" t="s">
        <v>6</v>
      </c>
      <c r="B22" s="7"/>
      <c r="C22" s="7"/>
      <c r="D22" s="8">
        <f>SUM(D11:D20)</f>
        <v>326832</v>
      </c>
      <c r="E22" s="7"/>
      <c r="F22" s="8" t="e">
        <f>SUM(F11:F20)</f>
        <v>#REF!</v>
      </c>
      <c r="G22" s="8">
        <f>SUM(G11:G19)</f>
        <v>468139</v>
      </c>
      <c r="I22" s="8" t="e">
        <f>SUM(I11:I20)</f>
        <v>#REF!</v>
      </c>
      <c r="K22" s="79" t="e">
        <f>I22/F22</f>
        <v>#REF!</v>
      </c>
    </row>
    <row r="23" spans="9:11" ht="12.75">
      <c r="I23" s="6"/>
      <c r="K23" s="6"/>
    </row>
    <row r="24" spans="1:11" ht="12.75">
      <c r="A24" s="5" t="s">
        <v>0</v>
      </c>
      <c r="B24" s="5"/>
      <c r="C24" s="5"/>
      <c r="I24" s="6"/>
      <c r="K24" s="6"/>
    </row>
    <row r="25" spans="1:14" ht="12.75">
      <c r="A25" s="2" t="str">
        <f>'P&amp;L Details'!A25</f>
        <v>Staff Salaries</v>
      </c>
      <c r="D25" s="9">
        <f>'Budget Details'!M25</f>
        <v>262380</v>
      </c>
      <c r="F25" s="6">
        <f>'P&amp;L Summary'!C29</f>
        <v>153898</v>
      </c>
      <c r="G25" s="6">
        <f>194186-G26+9183</f>
        <v>184520</v>
      </c>
      <c r="I25" s="6">
        <f>D25-F25</f>
        <v>108482</v>
      </c>
      <c r="K25" s="77">
        <f>I25/F25</f>
        <v>0.7048954502332714</v>
      </c>
      <c r="L25" s="9"/>
      <c r="M25" s="6"/>
      <c r="N25" s="9"/>
    </row>
    <row r="26" spans="1:14" ht="12.75">
      <c r="A26" s="2" t="str">
        <f>'P&amp;L Details'!A26</f>
        <v>Employers PRSI</v>
      </c>
      <c r="D26" s="9">
        <f>'Budget Details'!M26</f>
        <v>0</v>
      </c>
      <c r="F26" s="6">
        <f>'P&amp;L Summary'!C30</f>
        <v>16979</v>
      </c>
      <c r="G26" s="6">
        <v>18849</v>
      </c>
      <c r="I26" s="6">
        <f aca="true" t="shared" si="2" ref="I26:I54">D26-F26</f>
        <v>-16979</v>
      </c>
      <c r="K26" s="77">
        <f aca="true" t="shared" si="3" ref="K26:K53">I26/F26</f>
        <v>-1</v>
      </c>
      <c r="L26" s="9"/>
      <c r="M26" s="6"/>
      <c r="N26" s="9"/>
    </row>
    <row r="27" spans="1:14" ht="12.75">
      <c r="A27" s="2" t="s">
        <v>171</v>
      </c>
      <c r="D27" s="9">
        <f>'Budget Details'!M27</f>
        <v>0</v>
      </c>
      <c r="F27" s="6">
        <v>0</v>
      </c>
      <c r="I27" s="6">
        <f t="shared" si="2"/>
        <v>0</v>
      </c>
      <c r="K27" s="78" t="s">
        <v>134</v>
      </c>
      <c r="L27" s="9"/>
      <c r="M27" s="6"/>
      <c r="N27" s="9"/>
    </row>
    <row r="28" spans="1:14" ht="12.75">
      <c r="A28" s="2" t="str">
        <f>'P&amp;L Details'!A28</f>
        <v>Staff Pension</v>
      </c>
      <c r="D28" s="9">
        <f>'Budget Details'!M28</f>
        <v>0</v>
      </c>
      <c r="F28" s="6">
        <f>'P&amp;L Summary'!C31</f>
        <v>1040</v>
      </c>
      <c r="I28" s="6">
        <f t="shared" si="2"/>
        <v>-1040</v>
      </c>
      <c r="K28" s="77">
        <f t="shared" si="3"/>
        <v>-1</v>
      </c>
      <c r="L28" s="9"/>
      <c r="M28" s="6"/>
      <c r="N28" s="9"/>
    </row>
    <row r="29" spans="1:14" s="54" customFormat="1" ht="12.75">
      <c r="A29" s="2" t="str">
        <f>'P&amp;L Details'!A29</f>
        <v>Recruitment</v>
      </c>
      <c r="D29" s="9">
        <f>'Budget Details'!M29</f>
        <v>0</v>
      </c>
      <c r="F29" s="6">
        <f>'P&amp;L Summary'!C32</f>
        <v>0</v>
      </c>
      <c r="G29" s="55">
        <v>9079</v>
      </c>
      <c r="I29" s="12">
        <f t="shared" si="2"/>
        <v>0</v>
      </c>
      <c r="K29" s="77" t="e">
        <f t="shared" si="3"/>
        <v>#DIV/0!</v>
      </c>
      <c r="L29" s="9"/>
      <c r="M29" s="6"/>
      <c r="N29" s="9"/>
    </row>
    <row r="30" spans="1:14" ht="12.75">
      <c r="A30" s="2" t="str">
        <f>'P&amp;L Details'!A30</f>
        <v>Staff Training</v>
      </c>
      <c r="D30" s="9">
        <f>'Budget Details'!M30</f>
        <v>10200</v>
      </c>
      <c r="F30" s="6">
        <f>'P&amp;L Summary'!C33</f>
        <v>210</v>
      </c>
      <c r="G30" s="6">
        <v>0</v>
      </c>
      <c r="I30" s="6">
        <f t="shared" si="2"/>
        <v>9990</v>
      </c>
      <c r="K30" s="77">
        <f t="shared" si="3"/>
        <v>47.57142857142857</v>
      </c>
      <c r="L30" s="9"/>
      <c r="M30" s="6"/>
      <c r="N30" s="9"/>
    </row>
    <row r="31" spans="1:14" ht="12.75">
      <c r="A31" s="2" t="str">
        <f>'P&amp;L Details'!A31</f>
        <v>Supervision Expenses</v>
      </c>
      <c r="D31" s="9">
        <f>'Budget Details'!M31</f>
        <v>0</v>
      </c>
      <c r="F31" s="6">
        <f>'P&amp;L Summary'!C35</f>
        <v>0</v>
      </c>
      <c r="G31" s="6">
        <f>14153-G33</f>
        <v>10153</v>
      </c>
      <c r="I31" s="12">
        <f t="shared" si="2"/>
        <v>0</v>
      </c>
      <c r="K31" s="77" t="e">
        <f t="shared" si="3"/>
        <v>#DIV/0!</v>
      </c>
      <c r="L31" s="9"/>
      <c r="M31" s="6"/>
      <c r="N31" s="9"/>
    </row>
    <row r="32" spans="1:14" ht="12.75">
      <c r="A32" s="2" t="str">
        <f>'P&amp;L Details'!A32</f>
        <v>Tuition Fees</v>
      </c>
      <c r="D32" s="9">
        <f>'Budget Details'!M32</f>
        <v>0</v>
      </c>
      <c r="F32" s="6" t="e">
        <f>'P&amp;L Summary'!#REF!</f>
        <v>#REF!</v>
      </c>
      <c r="G32" s="6">
        <v>9725</v>
      </c>
      <c r="I32" s="12" t="e">
        <f t="shared" si="2"/>
        <v>#REF!</v>
      </c>
      <c r="K32" s="77" t="e">
        <f t="shared" si="3"/>
        <v>#REF!</v>
      </c>
      <c r="L32" s="9"/>
      <c r="M32" s="6"/>
      <c r="N32" s="9"/>
    </row>
    <row r="33" spans="1:14" ht="12.75">
      <c r="A33" s="2" t="e">
        <f>'P&amp;L Details'!#REF!</f>
        <v>#REF!</v>
      </c>
      <c r="D33" s="9">
        <f>'Budget Details'!M33</f>
        <v>1236</v>
      </c>
      <c r="F33" s="6" t="e">
        <f>'P&amp;L Summary'!#REF!</f>
        <v>#REF!</v>
      </c>
      <c r="G33" s="6">
        <v>4000</v>
      </c>
      <c r="I33" s="6" t="e">
        <f t="shared" si="2"/>
        <v>#REF!</v>
      </c>
      <c r="K33" s="77" t="e">
        <f t="shared" si="3"/>
        <v>#REF!</v>
      </c>
      <c r="L33" s="9"/>
      <c r="M33" s="6"/>
      <c r="N33" s="9"/>
    </row>
    <row r="34" spans="1:14" ht="12.75">
      <c r="A34" s="2" t="str">
        <f>'P&amp;L Details'!A33</f>
        <v>Board Meeting Expenses</v>
      </c>
      <c r="D34" s="9">
        <f>'Budget Details'!M34</f>
        <v>0</v>
      </c>
      <c r="F34" s="6">
        <f>'P&amp;L Summary'!C36</f>
        <v>763</v>
      </c>
      <c r="G34" s="6">
        <v>537</v>
      </c>
      <c r="I34" s="6">
        <f t="shared" si="2"/>
        <v>-763</v>
      </c>
      <c r="K34" s="77">
        <f t="shared" si="3"/>
        <v>-1</v>
      </c>
      <c r="L34" s="9"/>
      <c r="M34" s="6"/>
      <c r="N34" s="9"/>
    </row>
    <row r="35" spans="1:14" ht="12.75">
      <c r="A35" s="2" t="str">
        <f>'P&amp;L Details'!A34</f>
        <v>Conference Costs</v>
      </c>
      <c r="D35" s="9">
        <f>'Budget Details'!M35</f>
        <v>660</v>
      </c>
      <c r="F35" s="6">
        <f>'P&amp;L Summary'!C37</f>
        <v>0</v>
      </c>
      <c r="G35" s="6">
        <v>0</v>
      </c>
      <c r="I35" s="6">
        <f t="shared" si="2"/>
        <v>660</v>
      </c>
      <c r="K35" s="77" t="e">
        <f t="shared" si="3"/>
        <v>#DIV/0!</v>
      </c>
      <c r="L35" s="9"/>
      <c r="M35" s="6"/>
      <c r="N35" s="9"/>
    </row>
    <row r="36" spans="1:14" ht="12.75">
      <c r="A36" s="2" t="str">
        <f>'P&amp;L Details'!A35</f>
        <v>Rent, rates &amp; facilities mgt</v>
      </c>
      <c r="D36" s="9">
        <f>'Budget Details'!M36</f>
        <v>36060</v>
      </c>
      <c r="F36" s="6">
        <f>'P&amp;L Summary'!C38</f>
        <v>8664</v>
      </c>
      <c r="G36" s="6">
        <v>0</v>
      </c>
      <c r="I36" s="6">
        <f t="shared" si="2"/>
        <v>27396</v>
      </c>
      <c r="K36" s="77">
        <f t="shared" si="3"/>
        <v>3.162049861495845</v>
      </c>
      <c r="L36" s="9"/>
      <c r="M36" s="6"/>
      <c r="N36" s="9"/>
    </row>
    <row r="37" spans="1:14" ht="12.75">
      <c r="A37" s="2" t="str">
        <f>'P&amp;L Details'!A36</f>
        <v>Heat and Light &amp; cleaning</v>
      </c>
      <c r="D37" s="9">
        <f>'Budget Details'!M37</f>
        <v>7704</v>
      </c>
      <c r="F37" s="6">
        <f>'P&amp;L Summary'!C39</f>
        <v>3349</v>
      </c>
      <c r="G37" s="6">
        <f>59896+1748</f>
        <v>61644</v>
      </c>
      <c r="I37" s="6">
        <f t="shared" si="2"/>
        <v>4355</v>
      </c>
      <c r="K37" s="77">
        <f t="shared" si="3"/>
        <v>1.3003881755747984</v>
      </c>
      <c r="L37" s="9"/>
      <c r="M37" s="6"/>
      <c r="N37" s="9"/>
    </row>
    <row r="38" spans="1:14" ht="12.75">
      <c r="A38" s="2" t="str">
        <f>'P&amp;L Details'!A37</f>
        <v>Staff/Volunteer event costs</v>
      </c>
      <c r="D38" s="9">
        <f>'Budget Details'!M38</f>
        <v>804</v>
      </c>
      <c r="F38" s="6">
        <f>'P&amp;L Summary'!C40</f>
        <v>322</v>
      </c>
      <c r="G38" s="6">
        <f>5226+2183</f>
        <v>7409</v>
      </c>
      <c r="I38" s="6">
        <f t="shared" si="2"/>
        <v>482</v>
      </c>
      <c r="K38" s="77">
        <f t="shared" si="3"/>
        <v>1.4968944099378882</v>
      </c>
      <c r="L38" s="9"/>
      <c r="M38" s="6"/>
      <c r="N38" s="9"/>
    </row>
    <row r="39" spans="1:14" ht="12.75">
      <c r="A39" s="2" t="str">
        <f>'P&amp;L Details'!A38</f>
        <v>Promotional Literature</v>
      </c>
      <c r="D39" s="9">
        <f>'Budget Details'!M39</f>
        <v>3096</v>
      </c>
      <c r="F39" s="6" t="e">
        <f>'P&amp;L Summary'!#REF!</f>
        <v>#REF!</v>
      </c>
      <c r="G39" s="6">
        <f>157+510+6637</f>
        <v>7304</v>
      </c>
      <c r="I39" s="6" t="e">
        <f t="shared" si="2"/>
        <v>#REF!</v>
      </c>
      <c r="K39" s="77" t="e">
        <f t="shared" si="3"/>
        <v>#REF!</v>
      </c>
      <c r="L39" s="9"/>
      <c r="M39" s="6"/>
      <c r="N39" s="9"/>
    </row>
    <row r="40" spans="1:14" ht="12.75">
      <c r="A40" s="2" t="str">
        <f>'P&amp;L Details'!A41</f>
        <v>Repairs</v>
      </c>
      <c r="D40" s="9">
        <f>'Budget Details'!M40</f>
        <v>2496</v>
      </c>
      <c r="F40" s="6">
        <f>'P&amp;L Summary'!C41</f>
        <v>1195</v>
      </c>
      <c r="G40" s="6">
        <v>1282</v>
      </c>
      <c r="I40" s="12">
        <f t="shared" si="2"/>
        <v>1301</v>
      </c>
      <c r="K40" s="77">
        <f t="shared" si="3"/>
        <v>1.088702928870293</v>
      </c>
      <c r="L40" s="9"/>
      <c r="M40" s="6"/>
      <c r="N40" s="9"/>
    </row>
    <row r="41" spans="1:14" ht="12.75">
      <c r="A41" s="2" t="str">
        <f>'P&amp;L Details'!A42</f>
        <v>Computer Costs</v>
      </c>
      <c r="D41" s="9">
        <f>'Budget Details'!M41</f>
        <v>600</v>
      </c>
      <c r="F41" s="6">
        <f>'P&amp;L Summary'!C43</f>
        <v>3647</v>
      </c>
      <c r="G41" s="6">
        <f>831+5842</f>
        <v>6673</v>
      </c>
      <c r="I41" s="6">
        <f t="shared" si="2"/>
        <v>-3047</v>
      </c>
      <c r="K41" s="77">
        <f t="shared" si="3"/>
        <v>-0.835481217438991</v>
      </c>
      <c r="L41" s="9"/>
      <c r="M41" s="6"/>
      <c r="N41" s="9"/>
    </row>
    <row r="42" spans="1:14" ht="12.75">
      <c r="A42" s="2" t="str">
        <f>'P&amp;L Details'!A44</f>
        <v>Printing , stationery, postage</v>
      </c>
      <c r="D42" s="9">
        <f>'Budget Details'!M42</f>
        <v>5448</v>
      </c>
      <c r="F42" s="6">
        <f>'P&amp;L Summary'!C44</f>
        <v>1832</v>
      </c>
      <c r="G42" s="6">
        <f>1979+513</f>
        <v>2492</v>
      </c>
      <c r="I42" s="12">
        <f t="shared" si="2"/>
        <v>3616</v>
      </c>
      <c r="K42" s="77">
        <f t="shared" si="3"/>
        <v>1.9737991266375545</v>
      </c>
      <c r="L42" s="9"/>
      <c r="M42" s="6"/>
      <c r="N42" s="9"/>
    </row>
    <row r="43" spans="1:14" ht="12.75">
      <c r="A43" s="2" t="str">
        <f>'P&amp;L Details'!A45</f>
        <v>Telephone and Internet</v>
      </c>
      <c r="D43" s="9">
        <f>'Budget Details'!M43</f>
        <v>5652</v>
      </c>
      <c r="F43" s="6">
        <f>'P&amp;L Summary'!C45</f>
        <v>3931</v>
      </c>
      <c r="G43" s="6">
        <v>3975</v>
      </c>
      <c r="I43" s="12">
        <f t="shared" si="2"/>
        <v>1721</v>
      </c>
      <c r="K43" s="77">
        <f t="shared" si="3"/>
        <v>0.43780208598321035</v>
      </c>
      <c r="L43" s="9"/>
      <c r="M43" s="6"/>
      <c r="N43" s="9"/>
    </row>
    <row r="44" spans="1:14" ht="12.75">
      <c r="A44" s="2" t="str">
        <f>'P&amp;L Details'!A46</f>
        <v>Bank Charges</v>
      </c>
      <c r="D44" s="9">
        <f>'Budget Details'!M44</f>
        <v>264</v>
      </c>
      <c r="F44" s="6">
        <f>'P&amp;L Summary'!C46</f>
        <v>339</v>
      </c>
      <c r="G44" s="6">
        <f>13337+1292</f>
        <v>14629</v>
      </c>
      <c r="I44" s="6">
        <f t="shared" si="2"/>
        <v>-75</v>
      </c>
      <c r="K44" s="77">
        <f t="shared" si="3"/>
        <v>-0.22123893805309736</v>
      </c>
      <c r="L44" s="9"/>
      <c r="M44" s="6"/>
      <c r="N44" s="9"/>
    </row>
    <row r="45" spans="1:14" ht="12.75">
      <c r="A45" s="2" t="str">
        <f>'P&amp;L Details'!A47</f>
        <v>Insurance</v>
      </c>
      <c r="D45" s="9">
        <f>'Budget Details'!M45</f>
        <v>0</v>
      </c>
      <c r="F45" s="6">
        <f>'P&amp;L Summary'!C48</f>
        <v>8072</v>
      </c>
      <c r="G45" s="6">
        <v>423</v>
      </c>
      <c r="I45" s="12">
        <f t="shared" si="2"/>
        <v>-8072</v>
      </c>
      <c r="K45" s="77">
        <f t="shared" si="3"/>
        <v>-1</v>
      </c>
      <c r="L45" s="9"/>
      <c r="M45" s="6"/>
      <c r="N45" s="9"/>
    </row>
    <row r="46" spans="1:14" ht="12.75">
      <c r="A46" s="2" t="e">
        <f>'P&amp;L Details'!#REF!</f>
        <v>#REF!</v>
      </c>
      <c r="D46" s="9">
        <f>'Budget Details'!M46</f>
        <v>2256</v>
      </c>
      <c r="F46" s="6">
        <f>'P&amp;L Summary'!C49</f>
        <v>48</v>
      </c>
      <c r="G46" s="6">
        <f>530+12783</f>
        <v>13313</v>
      </c>
      <c r="I46" s="6">
        <f t="shared" si="2"/>
        <v>2208</v>
      </c>
      <c r="K46" s="77">
        <f t="shared" si="3"/>
        <v>46</v>
      </c>
      <c r="L46" s="9"/>
      <c r="M46" s="6"/>
      <c r="N46" s="9"/>
    </row>
    <row r="47" spans="1:14" ht="12.75">
      <c r="A47" s="54" t="str">
        <f>'P&amp;L Details'!A59</f>
        <v>Travel and Subsistence</v>
      </c>
      <c r="D47" s="9">
        <f>'Budget Details'!M47</f>
        <v>8304</v>
      </c>
      <c r="F47" s="6">
        <f>'P&amp;L Summary'!C60</f>
        <v>2589</v>
      </c>
      <c r="G47" s="6">
        <f>4758+416+9000+245</f>
        <v>14419</v>
      </c>
      <c r="I47" s="12">
        <f t="shared" si="2"/>
        <v>5715</v>
      </c>
      <c r="K47" s="77">
        <f t="shared" si="3"/>
        <v>2.2074159907300115</v>
      </c>
      <c r="L47" s="9"/>
      <c r="M47" s="6"/>
      <c r="N47" s="9"/>
    </row>
    <row r="48" spans="1:14" ht="12.75">
      <c r="A48" s="54" t="str">
        <f>'P&amp;L Details'!A60</f>
        <v>Membership and Subscriptions</v>
      </c>
      <c r="D48" s="9">
        <f>'Budget Details'!M48</f>
        <v>1248</v>
      </c>
      <c r="F48" s="6">
        <f>'P&amp;L Summary'!C61</f>
        <v>483</v>
      </c>
      <c r="G48" s="6">
        <f>8058+902</f>
        <v>8960</v>
      </c>
      <c r="I48" s="12">
        <f t="shared" si="2"/>
        <v>765</v>
      </c>
      <c r="K48" s="77">
        <f t="shared" si="3"/>
        <v>1.5838509316770186</v>
      </c>
      <c r="L48" s="9"/>
      <c r="M48" s="6"/>
      <c r="N48" s="9"/>
    </row>
    <row r="49" spans="1:14" ht="12.75">
      <c r="A49" s="54" t="str">
        <f>'P&amp;L Details'!A61</f>
        <v>Advertising </v>
      </c>
      <c r="D49" s="9">
        <f>'Budget Details'!M49</f>
        <v>9756</v>
      </c>
      <c r="F49" s="6">
        <f>'P&amp;L Summary'!C63</f>
        <v>0</v>
      </c>
      <c r="G49" s="6">
        <v>0</v>
      </c>
      <c r="I49" s="6">
        <f t="shared" si="2"/>
        <v>9756</v>
      </c>
      <c r="K49" s="77" t="e">
        <f t="shared" si="3"/>
        <v>#DIV/0!</v>
      </c>
      <c r="L49" s="9"/>
      <c r="M49" s="6"/>
      <c r="N49" s="9"/>
    </row>
    <row r="50" spans="1:14" ht="12.75">
      <c r="A50" s="54" t="e">
        <f>'P&amp;L Details'!#REF!</f>
        <v>#REF!</v>
      </c>
      <c r="D50" s="9">
        <f>'Budget Details'!M50</f>
        <v>0</v>
      </c>
      <c r="F50" s="6">
        <f>'P&amp;L Summary'!C64</f>
        <v>3815</v>
      </c>
      <c r="G50" s="6">
        <v>67191</v>
      </c>
      <c r="I50" s="12">
        <f t="shared" si="2"/>
        <v>-3815</v>
      </c>
      <c r="K50" s="77">
        <f t="shared" si="3"/>
        <v>-1</v>
      </c>
      <c r="L50" s="9"/>
      <c r="M50" s="6"/>
      <c r="N50" s="9"/>
    </row>
    <row r="51" spans="1:14" ht="12.75">
      <c r="A51" s="54" t="str">
        <f>'P&amp;L Details'!A62</f>
        <v>Professional and Accountant Fees</v>
      </c>
      <c r="D51" s="9">
        <f>'Budget Details'!M51</f>
        <v>0</v>
      </c>
      <c r="F51" s="6">
        <f>'P&amp;L Summary'!C65</f>
        <v>6226</v>
      </c>
      <c r="G51" s="6">
        <f>10064-G52+6452</f>
        <v>7516</v>
      </c>
      <c r="I51" s="6">
        <f t="shared" si="2"/>
        <v>-6226</v>
      </c>
      <c r="K51" s="77">
        <f t="shared" si="3"/>
        <v>-1</v>
      </c>
      <c r="L51" s="9"/>
      <c r="M51" s="6"/>
      <c r="N51" s="9"/>
    </row>
    <row r="52" spans="1:14" ht="12.75">
      <c r="A52" s="54" t="str">
        <f>'P&amp;L Details'!A63</f>
        <v>Audit Fees</v>
      </c>
      <c r="D52" s="9">
        <f>'Budget Details'!M52</f>
        <v>0</v>
      </c>
      <c r="F52" s="6">
        <f>'P&amp;L Summary'!C67</f>
        <v>2500</v>
      </c>
      <c r="G52" s="6">
        <v>9000</v>
      </c>
      <c r="I52" s="6">
        <f t="shared" si="2"/>
        <v>-2500</v>
      </c>
      <c r="K52" s="77">
        <f t="shared" si="3"/>
        <v>-1</v>
      </c>
      <c r="L52" s="9"/>
      <c r="M52" s="6"/>
      <c r="N52" s="9"/>
    </row>
    <row r="53" spans="1:14" ht="12.75">
      <c r="A53" s="54" t="e">
        <f>'P&amp;L Details'!#REF!</f>
        <v>#REF!</v>
      </c>
      <c r="D53" s="9">
        <f>'Budget Details'!M53</f>
        <v>0</v>
      </c>
      <c r="F53" s="6" t="e">
        <f>'P&amp;L Summary'!#REF!</f>
        <v>#REF!</v>
      </c>
      <c r="G53" s="6">
        <v>3327</v>
      </c>
      <c r="I53" s="12" t="e">
        <f t="shared" si="2"/>
        <v>#REF!</v>
      </c>
      <c r="K53" s="77" t="e">
        <f t="shared" si="3"/>
        <v>#REF!</v>
      </c>
      <c r="L53" s="9"/>
      <c r="M53" s="6"/>
      <c r="N53" s="9"/>
    </row>
    <row r="54" spans="1:14" ht="12.75">
      <c r="A54" s="54" t="str">
        <f>'P&amp;L Details'!A64</f>
        <v>Depreciation Charge</v>
      </c>
      <c r="D54" s="9">
        <f>'Budget Details'!M54</f>
        <v>4932</v>
      </c>
      <c r="F54" s="6">
        <f>'P&amp;L Summary'!C68</f>
        <v>4367</v>
      </c>
      <c r="I54" s="6">
        <f t="shared" si="2"/>
        <v>565</v>
      </c>
      <c r="K54" s="77">
        <f>I54/F54</f>
        <v>0.12937943668422258</v>
      </c>
      <c r="L54" s="9"/>
      <c r="M54" s="6"/>
      <c r="N54" s="9"/>
    </row>
    <row r="56" spans="1:11" ht="12.75">
      <c r="A56" s="7" t="s">
        <v>1</v>
      </c>
      <c r="B56" s="7"/>
      <c r="C56" s="7"/>
      <c r="D56" s="8">
        <f>SUM(D25:D55)</f>
        <v>363096</v>
      </c>
      <c r="E56" s="7"/>
      <c r="F56" s="8" t="e">
        <f>SUM(F25:F55)</f>
        <v>#REF!</v>
      </c>
      <c r="G56" s="8">
        <f>SUM(G25:G53)</f>
        <v>466420</v>
      </c>
      <c r="I56" s="8" t="e">
        <f>SUM(I25:I55)</f>
        <v>#REF!</v>
      </c>
      <c r="K56" s="79" t="e">
        <f>I56/F56</f>
        <v>#REF!</v>
      </c>
    </row>
    <row r="57" ht="12.75">
      <c r="D57" s="6"/>
    </row>
    <row r="58" spans="1:11" ht="13.5" thickBot="1">
      <c r="A58" s="7" t="s">
        <v>179</v>
      </c>
      <c r="B58" s="7"/>
      <c r="C58" s="7"/>
      <c r="D58" s="10">
        <f>D22-D56</f>
        <v>-36264</v>
      </c>
      <c r="E58" s="7"/>
      <c r="F58" s="10" t="e">
        <f>F22-F56</f>
        <v>#REF!</v>
      </c>
      <c r="G58" s="10">
        <f>G22-G56</f>
        <v>1719</v>
      </c>
      <c r="I58" s="11" t="e">
        <f>D58-F58</f>
        <v>#REF!</v>
      </c>
      <c r="K58" s="80" t="e">
        <f>I58/F58</f>
        <v>#REF!</v>
      </c>
    </row>
    <row r="59" ht="13.5" thickTop="1"/>
  </sheetData>
  <sheetProtection/>
  <mergeCells count="4">
    <mergeCell ref="B1:K1"/>
    <mergeCell ref="B2:K2"/>
    <mergeCell ref="B3:K3"/>
    <mergeCell ref="B4:K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3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workbookViewId="0" topLeftCell="A41">
      <selection activeCell="P17" sqref="P17"/>
    </sheetView>
  </sheetViews>
  <sheetFormatPr defaultColWidth="9.140625" defaultRowHeight="12.75"/>
  <cols>
    <col min="1" max="1" width="24.7109375" style="2" customWidth="1"/>
    <col min="2" max="2" width="2.7109375" style="2" customWidth="1"/>
    <col min="3" max="3" width="10.140625" style="2" customWidth="1"/>
    <col min="4" max="4" width="2.421875" style="2" customWidth="1"/>
    <col min="5" max="5" width="10.140625" style="2" customWidth="1"/>
    <col min="6" max="6" width="2.421875" style="2" customWidth="1"/>
    <col min="7" max="7" width="10.140625" style="2" customWidth="1"/>
    <col min="8" max="8" width="2.421875" style="2" customWidth="1"/>
    <col min="9" max="9" width="10.140625" style="2" customWidth="1"/>
    <col min="10" max="10" width="2.421875" style="2" customWidth="1"/>
    <col min="11" max="11" width="10.140625" style="2" customWidth="1"/>
    <col min="12" max="12" width="2.421875" style="2" customWidth="1"/>
    <col min="13" max="13" width="10.140625" style="2" customWidth="1"/>
    <col min="14" max="16384" width="9.140625" style="2" customWidth="1"/>
  </cols>
  <sheetData>
    <row r="1" spans="1:13" ht="19.5">
      <c r="A1" s="17"/>
      <c r="B1" s="186" t="s">
        <v>19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8"/>
    </row>
    <row r="2" spans="1:13" ht="19.5">
      <c r="A2" s="15"/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1"/>
    </row>
    <row r="3" spans="1:13" ht="8.25" customHeight="1">
      <c r="A3" s="15"/>
      <c r="B3" s="192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4"/>
    </row>
    <row r="4" spans="1:13" ht="20.25" thickBot="1">
      <c r="A4" s="18"/>
      <c r="B4" s="195" t="s">
        <v>164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7"/>
    </row>
    <row r="5" ht="7.5" customHeight="1" thickBot="1"/>
    <row r="6" spans="3:13" ht="7.5" customHeight="1">
      <c r="C6" s="43"/>
      <c r="D6" s="13"/>
      <c r="E6" s="43"/>
      <c r="F6" s="13"/>
      <c r="G6" s="43"/>
      <c r="H6" s="13"/>
      <c r="I6" s="43"/>
      <c r="J6" s="13"/>
      <c r="K6" s="43"/>
      <c r="M6" s="43"/>
    </row>
    <row r="7" spans="3:13" ht="25.5">
      <c r="C7" s="44" t="s">
        <v>2</v>
      </c>
      <c r="D7" s="41"/>
      <c r="E7" s="82" t="s">
        <v>181</v>
      </c>
      <c r="F7" s="41"/>
      <c r="G7" s="46" t="s">
        <v>3</v>
      </c>
      <c r="H7" s="42"/>
      <c r="I7" s="46" t="s">
        <v>5</v>
      </c>
      <c r="J7" s="42"/>
      <c r="K7" s="46" t="s">
        <v>72</v>
      </c>
      <c r="L7" s="3"/>
      <c r="M7" s="46" t="s">
        <v>6</v>
      </c>
    </row>
    <row r="8" spans="3:13" ht="13.5" thickBot="1">
      <c r="C8" s="45" t="s">
        <v>7</v>
      </c>
      <c r="D8" s="42"/>
      <c r="E8" s="45" t="s">
        <v>7</v>
      </c>
      <c r="F8" s="42"/>
      <c r="G8" s="45" t="s">
        <v>7</v>
      </c>
      <c r="H8" s="42"/>
      <c r="I8" s="45" t="s">
        <v>7</v>
      </c>
      <c r="J8" s="42"/>
      <c r="K8" s="45" t="s">
        <v>7</v>
      </c>
      <c r="L8" s="3"/>
      <c r="M8" s="45" t="s">
        <v>7</v>
      </c>
    </row>
    <row r="9" spans="4:10" ht="6.75" customHeight="1">
      <c r="D9" s="13"/>
      <c r="E9" s="13"/>
      <c r="F9" s="13"/>
      <c r="H9" s="13"/>
      <c r="J9" s="13"/>
    </row>
    <row r="10" spans="1:10" ht="12.75">
      <c r="A10" s="5" t="s">
        <v>8</v>
      </c>
      <c r="B10" s="5"/>
      <c r="D10" s="13"/>
      <c r="E10" s="13"/>
      <c r="F10" s="13"/>
      <c r="H10" s="13"/>
      <c r="J10" s="13"/>
    </row>
    <row r="11" spans="1:14" ht="12.75">
      <c r="A11" s="2" t="s">
        <v>88</v>
      </c>
      <c r="C11" s="55">
        <v>0</v>
      </c>
      <c r="D11" s="55"/>
      <c r="E11" s="55"/>
      <c r="F11" s="55"/>
      <c r="G11" s="55">
        <v>92328</v>
      </c>
      <c r="H11" s="14"/>
      <c r="I11" s="55">
        <v>32400</v>
      </c>
      <c r="J11" s="14"/>
      <c r="K11" s="55">
        <v>130716</v>
      </c>
      <c r="L11" s="6"/>
      <c r="M11" s="6">
        <f>C11+E11+G11+I11+K11</f>
        <v>255444</v>
      </c>
      <c r="N11" s="9"/>
    </row>
    <row r="12" spans="1:13" ht="12.75">
      <c r="A12" s="2" t="s">
        <v>90</v>
      </c>
      <c r="C12" s="55">
        <v>0</v>
      </c>
      <c r="D12" s="55"/>
      <c r="E12" s="55">
        <v>42660</v>
      </c>
      <c r="F12" s="55"/>
      <c r="G12" s="55">
        <v>0</v>
      </c>
      <c r="H12" s="14"/>
      <c r="I12" s="55">
        <v>0</v>
      </c>
      <c r="J12" s="14"/>
      <c r="K12" s="55">
        <v>0</v>
      </c>
      <c r="L12" s="6"/>
      <c r="M12" s="6">
        <f>C12+E12+G12+I12+K12</f>
        <v>42660</v>
      </c>
    </row>
    <row r="13" spans="1:13" ht="12.75">
      <c r="A13" s="2" t="s">
        <v>168</v>
      </c>
      <c r="C13" s="55">
        <v>0</v>
      </c>
      <c r="D13" s="55"/>
      <c r="E13" s="55">
        <v>0</v>
      </c>
      <c r="F13" s="55"/>
      <c r="G13" s="55">
        <v>0</v>
      </c>
      <c r="H13" s="14"/>
      <c r="I13" s="55">
        <v>0</v>
      </c>
      <c r="J13" s="14"/>
      <c r="K13" s="55">
        <v>9756</v>
      </c>
      <c r="L13" s="6"/>
      <c r="M13" s="6">
        <f aca="true" t="shared" si="0" ref="M13:M20">C13+G13+I13+K13</f>
        <v>9756</v>
      </c>
    </row>
    <row r="14" spans="1:13" ht="12.75">
      <c r="A14" s="2" t="s">
        <v>91</v>
      </c>
      <c r="C14" s="55">
        <v>0</v>
      </c>
      <c r="D14" s="55"/>
      <c r="E14" s="55">
        <v>0</v>
      </c>
      <c r="F14" s="55"/>
      <c r="G14" s="55">
        <v>1356</v>
      </c>
      <c r="H14" s="14"/>
      <c r="I14" s="55">
        <v>108</v>
      </c>
      <c r="J14" s="55"/>
      <c r="K14" s="55">
        <v>1104</v>
      </c>
      <c r="L14" s="6"/>
      <c r="M14" s="6">
        <f t="shared" si="0"/>
        <v>2568</v>
      </c>
    </row>
    <row r="15" spans="1:13" ht="12.75">
      <c r="A15" s="2" t="s">
        <v>37</v>
      </c>
      <c r="C15" s="55">
        <v>0</v>
      </c>
      <c r="D15" s="55"/>
      <c r="E15" s="55">
        <v>0</v>
      </c>
      <c r="F15" s="55"/>
      <c r="G15" s="55">
        <v>300</v>
      </c>
      <c r="H15" s="55"/>
      <c r="I15" s="55">
        <v>996</v>
      </c>
      <c r="J15" s="55"/>
      <c r="K15" s="55">
        <v>9996</v>
      </c>
      <c r="L15" s="6"/>
      <c r="M15" s="6">
        <f t="shared" si="0"/>
        <v>11292</v>
      </c>
    </row>
    <row r="16" spans="1:13" ht="12.75">
      <c r="A16" s="2" t="s">
        <v>86</v>
      </c>
      <c r="C16" s="55">
        <v>0</v>
      </c>
      <c r="D16" s="55"/>
      <c r="E16" s="55">
        <v>1200</v>
      </c>
      <c r="F16" s="55"/>
      <c r="G16" s="55">
        <v>0</v>
      </c>
      <c r="H16" s="55"/>
      <c r="I16" s="55">
        <v>0</v>
      </c>
      <c r="J16" s="55"/>
      <c r="K16" s="55">
        <v>0</v>
      </c>
      <c r="L16" s="6"/>
      <c r="M16" s="6">
        <f t="shared" si="0"/>
        <v>0</v>
      </c>
    </row>
    <row r="17" spans="1:13" ht="12.75">
      <c r="A17" s="2" t="s">
        <v>87</v>
      </c>
      <c r="C17" s="55">
        <v>0</v>
      </c>
      <c r="D17" s="55"/>
      <c r="E17" s="55">
        <v>0</v>
      </c>
      <c r="F17" s="55"/>
      <c r="G17" s="55">
        <v>0</v>
      </c>
      <c r="H17" s="55"/>
      <c r="I17" s="55">
        <v>0</v>
      </c>
      <c r="J17" s="55"/>
      <c r="K17" s="55">
        <v>0</v>
      </c>
      <c r="L17" s="6"/>
      <c r="M17" s="6">
        <f t="shared" si="0"/>
        <v>0</v>
      </c>
    </row>
    <row r="18" spans="1:13" ht="12.75">
      <c r="A18" s="2" t="s">
        <v>38</v>
      </c>
      <c r="C18" s="55">
        <v>0</v>
      </c>
      <c r="D18" s="55"/>
      <c r="E18" s="55">
        <v>0</v>
      </c>
      <c r="F18" s="55"/>
      <c r="G18" s="55">
        <v>0</v>
      </c>
      <c r="H18" s="55"/>
      <c r="I18" s="55">
        <v>5004</v>
      </c>
      <c r="J18" s="55"/>
      <c r="K18" s="55">
        <v>0</v>
      </c>
      <c r="L18" s="6"/>
      <c r="M18" s="6">
        <f t="shared" si="0"/>
        <v>5004</v>
      </c>
    </row>
    <row r="19" spans="1:13" ht="12.75">
      <c r="A19" s="2" t="s">
        <v>89</v>
      </c>
      <c r="C19" s="55">
        <v>0</v>
      </c>
      <c r="D19" s="55"/>
      <c r="E19" s="55">
        <v>0</v>
      </c>
      <c r="F19" s="55"/>
      <c r="G19" s="55">
        <v>0</v>
      </c>
      <c r="H19" s="55"/>
      <c r="I19" s="55">
        <v>0</v>
      </c>
      <c r="J19" s="55"/>
      <c r="K19" s="55">
        <v>0</v>
      </c>
      <c r="L19" s="6"/>
      <c r="M19" s="6">
        <f t="shared" si="0"/>
        <v>0</v>
      </c>
    </row>
    <row r="20" spans="1:13" ht="12.75">
      <c r="A20" s="2" t="s">
        <v>39</v>
      </c>
      <c r="C20" s="55">
        <v>0</v>
      </c>
      <c r="D20" s="55"/>
      <c r="E20" s="55">
        <v>0</v>
      </c>
      <c r="F20" s="55"/>
      <c r="G20" s="55">
        <v>60</v>
      </c>
      <c r="H20" s="55"/>
      <c r="I20" s="55">
        <v>0</v>
      </c>
      <c r="J20" s="55"/>
      <c r="K20" s="55">
        <v>48</v>
      </c>
      <c r="L20" s="6"/>
      <c r="M20" s="6">
        <f t="shared" si="0"/>
        <v>108</v>
      </c>
    </row>
    <row r="21" spans="3:13" ht="12.7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2.75">
      <c r="A22" s="7" t="s">
        <v>6</v>
      </c>
      <c r="B22" s="7"/>
      <c r="C22" s="8">
        <f>SUM(C11:C21)</f>
        <v>0</v>
      </c>
      <c r="D22" s="8"/>
      <c r="E22" s="8">
        <f>SUM(E11:E21)</f>
        <v>43860</v>
      </c>
      <c r="F22" s="8"/>
      <c r="G22" s="8">
        <f>SUM(G11:G20)</f>
        <v>94044</v>
      </c>
      <c r="H22" s="8"/>
      <c r="I22" s="8">
        <f>SUM(I11:I20)</f>
        <v>38508</v>
      </c>
      <c r="J22" s="8"/>
      <c r="K22" s="8">
        <f>SUM(K11:K20)</f>
        <v>151620</v>
      </c>
      <c r="L22" s="8"/>
      <c r="M22" s="8">
        <f>SUM(M11:M20)</f>
        <v>326832</v>
      </c>
    </row>
    <row r="23" ht="9" customHeight="1"/>
    <row r="24" spans="1:10" ht="12.75">
      <c r="A24" s="5" t="s">
        <v>0</v>
      </c>
      <c r="B24" s="5"/>
      <c r="I24" s="6"/>
      <c r="J24" s="6"/>
    </row>
    <row r="25" spans="1:13" ht="12.75">
      <c r="A25" s="2" t="s">
        <v>40</v>
      </c>
      <c r="C25" s="9">
        <v>0</v>
      </c>
      <c r="D25" s="9"/>
      <c r="E25" s="9">
        <v>0</v>
      </c>
      <c r="F25" s="9"/>
      <c r="G25" s="9">
        <v>129552</v>
      </c>
      <c r="H25" s="9"/>
      <c r="I25" s="9">
        <v>33228</v>
      </c>
      <c r="J25" s="6"/>
      <c r="K25" s="6">
        <v>99600</v>
      </c>
      <c r="M25" s="6">
        <f>C25+G25+I25+K25</f>
        <v>262380</v>
      </c>
    </row>
    <row r="26" spans="1:13" ht="12.75">
      <c r="A26" s="2" t="s">
        <v>41</v>
      </c>
      <c r="C26" s="9">
        <v>0</v>
      </c>
      <c r="D26" s="9"/>
      <c r="E26" s="9">
        <v>0</v>
      </c>
      <c r="F26" s="9"/>
      <c r="G26" s="9">
        <v>0</v>
      </c>
      <c r="H26" s="9"/>
      <c r="I26" s="9">
        <v>0</v>
      </c>
      <c r="J26" s="6"/>
      <c r="K26" s="6">
        <v>0</v>
      </c>
      <c r="M26" s="6">
        <f aca="true" t="shared" si="1" ref="M26:M54">C26+G26+I26+K26</f>
        <v>0</v>
      </c>
    </row>
    <row r="27" spans="1:13" ht="12.75">
      <c r="A27" s="2" t="s">
        <v>171</v>
      </c>
      <c r="C27" s="9">
        <v>0</v>
      </c>
      <c r="D27" s="9"/>
      <c r="E27" s="9">
        <v>0</v>
      </c>
      <c r="F27" s="9"/>
      <c r="G27" s="9">
        <v>0</v>
      </c>
      <c r="H27" s="9"/>
      <c r="I27" s="9">
        <v>0</v>
      </c>
      <c r="J27" s="6"/>
      <c r="K27" s="6">
        <v>0</v>
      </c>
      <c r="M27" s="6">
        <f t="shared" si="1"/>
        <v>0</v>
      </c>
    </row>
    <row r="28" spans="1:13" ht="12.75">
      <c r="A28" s="2" t="s">
        <v>77</v>
      </c>
      <c r="C28" s="9">
        <v>0</v>
      </c>
      <c r="D28" s="9"/>
      <c r="E28" s="9">
        <v>0</v>
      </c>
      <c r="F28" s="9"/>
      <c r="G28" s="9">
        <v>0</v>
      </c>
      <c r="H28" s="9"/>
      <c r="I28" s="9">
        <v>0</v>
      </c>
      <c r="J28" s="6"/>
      <c r="K28" s="6">
        <v>0</v>
      </c>
      <c r="M28" s="6">
        <f t="shared" si="1"/>
        <v>0</v>
      </c>
    </row>
    <row r="29" spans="1:13" ht="12.75">
      <c r="A29" s="2" t="s">
        <v>42</v>
      </c>
      <c r="C29" s="9">
        <v>0</v>
      </c>
      <c r="D29" s="9"/>
      <c r="E29" s="9">
        <v>0</v>
      </c>
      <c r="F29" s="9"/>
      <c r="G29" s="9">
        <v>0</v>
      </c>
      <c r="H29" s="6"/>
      <c r="I29" s="9">
        <v>0</v>
      </c>
      <c r="J29" s="6"/>
      <c r="K29" s="6">
        <v>0</v>
      </c>
      <c r="M29" s="6">
        <f t="shared" si="1"/>
        <v>0</v>
      </c>
    </row>
    <row r="30" spans="1:13" ht="12.75">
      <c r="A30" s="2" t="s">
        <v>43</v>
      </c>
      <c r="C30" s="9">
        <v>0</v>
      </c>
      <c r="D30" s="9"/>
      <c r="E30" s="9">
        <v>0</v>
      </c>
      <c r="F30" s="9"/>
      <c r="G30" s="9">
        <v>3000</v>
      </c>
      <c r="H30" s="9"/>
      <c r="I30" s="9">
        <v>2196</v>
      </c>
      <c r="J30" s="6"/>
      <c r="K30" s="6">
        <v>5004</v>
      </c>
      <c r="M30" s="6">
        <f t="shared" si="1"/>
        <v>10200</v>
      </c>
    </row>
    <row r="31" spans="1:13" ht="12.75">
      <c r="A31" s="2" t="s">
        <v>78</v>
      </c>
      <c r="C31" s="9">
        <v>0</v>
      </c>
      <c r="D31" s="9"/>
      <c r="E31" s="9">
        <v>0</v>
      </c>
      <c r="F31" s="9"/>
      <c r="G31" s="9">
        <v>0</v>
      </c>
      <c r="H31" s="6"/>
      <c r="I31" s="9">
        <v>0</v>
      </c>
      <c r="J31" s="6"/>
      <c r="K31" s="6">
        <v>0</v>
      </c>
      <c r="M31" s="6">
        <f t="shared" si="1"/>
        <v>0</v>
      </c>
    </row>
    <row r="32" spans="1:13" ht="12.75">
      <c r="A32" s="2" t="s">
        <v>79</v>
      </c>
      <c r="C32" s="9">
        <v>0</v>
      </c>
      <c r="D32" s="9"/>
      <c r="E32" s="9">
        <v>0</v>
      </c>
      <c r="F32" s="9"/>
      <c r="G32" s="9">
        <v>0</v>
      </c>
      <c r="H32" s="9"/>
      <c r="I32" s="9">
        <v>0</v>
      </c>
      <c r="J32" s="6"/>
      <c r="K32" s="6">
        <v>0</v>
      </c>
      <c r="M32" s="6">
        <f t="shared" si="1"/>
        <v>0</v>
      </c>
    </row>
    <row r="33" spans="1:13" ht="12.75">
      <c r="A33" s="2" t="s">
        <v>80</v>
      </c>
      <c r="C33" s="9">
        <v>0</v>
      </c>
      <c r="D33" s="9"/>
      <c r="E33" s="9">
        <v>0</v>
      </c>
      <c r="F33" s="9"/>
      <c r="G33" s="9">
        <v>120</v>
      </c>
      <c r="H33" s="6"/>
      <c r="I33" s="9">
        <v>120</v>
      </c>
      <c r="J33" s="6"/>
      <c r="K33" s="6">
        <v>996</v>
      </c>
      <c r="M33" s="6">
        <f t="shared" si="1"/>
        <v>1236</v>
      </c>
    </row>
    <row r="34" spans="1:13" ht="12.75">
      <c r="A34" s="2" t="s">
        <v>161</v>
      </c>
      <c r="C34" s="9">
        <v>0</v>
      </c>
      <c r="D34" s="9"/>
      <c r="E34" s="9">
        <v>0</v>
      </c>
      <c r="F34" s="9"/>
      <c r="G34" s="9">
        <v>0</v>
      </c>
      <c r="H34" s="6"/>
      <c r="I34" s="9">
        <v>0</v>
      </c>
      <c r="J34" s="6"/>
      <c r="K34" s="6">
        <v>0</v>
      </c>
      <c r="M34" s="6">
        <f t="shared" si="1"/>
        <v>0</v>
      </c>
    </row>
    <row r="35" spans="1:13" ht="12.75">
      <c r="A35" s="2" t="s">
        <v>81</v>
      </c>
      <c r="C35" s="9">
        <v>0</v>
      </c>
      <c r="D35" s="9"/>
      <c r="E35" s="9">
        <v>0</v>
      </c>
      <c r="F35" s="9"/>
      <c r="G35" s="9">
        <v>360</v>
      </c>
      <c r="H35" s="9"/>
      <c r="I35" s="9">
        <v>300</v>
      </c>
      <c r="J35" s="6"/>
      <c r="K35" s="6">
        <v>0</v>
      </c>
      <c r="M35" s="6">
        <f t="shared" si="1"/>
        <v>660</v>
      </c>
    </row>
    <row r="36" spans="1:13" ht="12.75">
      <c r="A36" s="2" t="s">
        <v>30</v>
      </c>
      <c r="C36" s="9">
        <v>0</v>
      </c>
      <c r="D36" s="9"/>
      <c r="E36" s="9">
        <v>0</v>
      </c>
      <c r="F36" s="9"/>
      <c r="G36" s="9">
        <v>8064</v>
      </c>
      <c r="H36" s="9"/>
      <c r="I36" s="9">
        <v>6000</v>
      </c>
      <c r="J36" s="9"/>
      <c r="K36" s="6">
        <v>21996</v>
      </c>
      <c r="M36" s="6">
        <f>C36+G36+I36+K36</f>
        <v>36060</v>
      </c>
    </row>
    <row r="37" spans="1:13" ht="12.75">
      <c r="A37" s="2" t="s">
        <v>44</v>
      </c>
      <c r="C37" s="9">
        <v>0</v>
      </c>
      <c r="D37" s="9"/>
      <c r="E37" s="9">
        <v>0</v>
      </c>
      <c r="F37" s="9"/>
      <c r="G37" s="9">
        <v>3504</v>
      </c>
      <c r="H37" s="9"/>
      <c r="I37" s="9">
        <v>1200</v>
      </c>
      <c r="J37" s="9"/>
      <c r="K37" s="6">
        <v>3000</v>
      </c>
      <c r="M37" s="6">
        <f t="shared" si="1"/>
        <v>7704</v>
      </c>
    </row>
    <row r="38" spans="1:13" ht="12.75">
      <c r="A38" s="2" t="s">
        <v>35</v>
      </c>
      <c r="C38" s="9">
        <v>0</v>
      </c>
      <c r="D38" s="6"/>
      <c r="E38" s="9">
        <v>3600</v>
      </c>
      <c r="F38" s="6"/>
      <c r="G38" s="9">
        <v>0</v>
      </c>
      <c r="H38" s="9"/>
      <c r="I38" s="9">
        <v>0</v>
      </c>
      <c r="J38" s="6"/>
      <c r="K38" s="6">
        <v>804</v>
      </c>
      <c r="M38" s="6">
        <f t="shared" si="1"/>
        <v>804</v>
      </c>
    </row>
    <row r="39" spans="1:13" ht="12.75">
      <c r="A39" s="2" t="s">
        <v>74</v>
      </c>
      <c r="C39" s="9">
        <v>0</v>
      </c>
      <c r="D39" s="6"/>
      <c r="E39" s="9">
        <v>0</v>
      </c>
      <c r="F39" s="6"/>
      <c r="G39" s="9">
        <v>1800</v>
      </c>
      <c r="H39" s="9"/>
      <c r="I39" s="9">
        <v>300</v>
      </c>
      <c r="J39" s="6"/>
      <c r="K39" s="6">
        <v>996</v>
      </c>
      <c r="M39" s="6">
        <f t="shared" si="1"/>
        <v>3096</v>
      </c>
    </row>
    <row r="40" spans="1:13" ht="12.75">
      <c r="A40" s="2" t="s">
        <v>45</v>
      </c>
      <c r="C40" s="9">
        <v>0</v>
      </c>
      <c r="D40" s="9"/>
      <c r="E40" s="9">
        <v>0</v>
      </c>
      <c r="F40" s="9"/>
      <c r="G40" s="9">
        <v>996</v>
      </c>
      <c r="H40" s="9"/>
      <c r="I40" s="9">
        <v>204</v>
      </c>
      <c r="J40" s="6"/>
      <c r="K40" s="6">
        <v>1296</v>
      </c>
      <c r="M40" s="6">
        <f t="shared" si="1"/>
        <v>2496</v>
      </c>
    </row>
    <row r="41" spans="1:13" ht="12.75">
      <c r="A41" s="2" t="s">
        <v>82</v>
      </c>
      <c r="C41" s="9">
        <v>0</v>
      </c>
      <c r="D41" s="9"/>
      <c r="E41" s="9">
        <v>0</v>
      </c>
      <c r="F41" s="9"/>
      <c r="G41" s="9">
        <v>300</v>
      </c>
      <c r="H41" s="9"/>
      <c r="I41" s="9">
        <v>96</v>
      </c>
      <c r="J41" s="6"/>
      <c r="K41" s="6">
        <v>204</v>
      </c>
      <c r="M41" s="6">
        <f t="shared" si="1"/>
        <v>600</v>
      </c>
    </row>
    <row r="42" spans="1:13" ht="12.75">
      <c r="A42" s="2" t="s">
        <v>46</v>
      </c>
      <c r="C42" s="9">
        <v>0</v>
      </c>
      <c r="D42" s="9"/>
      <c r="E42" s="9">
        <v>0</v>
      </c>
      <c r="F42" s="9"/>
      <c r="G42" s="9">
        <v>3000</v>
      </c>
      <c r="H42" s="9"/>
      <c r="I42" s="9">
        <v>252</v>
      </c>
      <c r="J42" s="9"/>
      <c r="K42" s="6">
        <v>2196</v>
      </c>
      <c r="M42" s="6">
        <f t="shared" si="1"/>
        <v>5448</v>
      </c>
    </row>
    <row r="43" spans="1:13" ht="12.75">
      <c r="A43" s="2" t="s">
        <v>83</v>
      </c>
      <c r="C43" s="9">
        <v>0</v>
      </c>
      <c r="D43" s="9"/>
      <c r="E43" s="9">
        <v>0</v>
      </c>
      <c r="F43" s="9"/>
      <c r="G43" s="9">
        <v>3000</v>
      </c>
      <c r="H43" s="9"/>
      <c r="I43" s="9">
        <v>1152</v>
      </c>
      <c r="J43" s="9"/>
      <c r="K43" s="6">
        <v>1500</v>
      </c>
      <c r="M43" s="6">
        <f t="shared" si="1"/>
        <v>5652</v>
      </c>
    </row>
    <row r="44" spans="1:13" ht="12.75">
      <c r="A44" s="2" t="s">
        <v>47</v>
      </c>
      <c r="C44" s="9">
        <v>0</v>
      </c>
      <c r="D44" s="9"/>
      <c r="E44" s="9">
        <v>0</v>
      </c>
      <c r="F44" s="9"/>
      <c r="G44" s="9">
        <v>156</v>
      </c>
      <c r="H44" s="9"/>
      <c r="I44" s="9">
        <v>12</v>
      </c>
      <c r="J44" s="9"/>
      <c r="K44" s="6">
        <v>96</v>
      </c>
      <c r="M44" s="6">
        <f t="shared" si="1"/>
        <v>264</v>
      </c>
    </row>
    <row r="45" spans="1:13" ht="12.75">
      <c r="A45" s="2" t="s">
        <v>27</v>
      </c>
      <c r="C45" s="9">
        <v>0</v>
      </c>
      <c r="D45" s="9"/>
      <c r="E45" s="9">
        <v>0</v>
      </c>
      <c r="F45" s="9"/>
      <c r="G45" s="9">
        <v>0</v>
      </c>
      <c r="H45" s="6"/>
      <c r="I45" s="9">
        <v>0</v>
      </c>
      <c r="J45" s="6"/>
      <c r="K45" s="6">
        <v>0</v>
      </c>
      <c r="M45" s="6">
        <f t="shared" si="1"/>
        <v>0</v>
      </c>
    </row>
    <row r="46" spans="1:13" ht="12.75">
      <c r="A46" s="2" t="s">
        <v>48</v>
      </c>
      <c r="C46" s="9">
        <v>0</v>
      </c>
      <c r="D46" s="9"/>
      <c r="E46" s="9">
        <v>0</v>
      </c>
      <c r="F46" s="9"/>
      <c r="G46" s="9">
        <v>1200</v>
      </c>
      <c r="H46" s="9"/>
      <c r="I46" s="9">
        <v>756</v>
      </c>
      <c r="J46" s="9"/>
      <c r="K46" s="6">
        <v>300</v>
      </c>
      <c r="M46" s="6">
        <f t="shared" si="1"/>
        <v>2256</v>
      </c>
    </row>
    <row r="47" spans="1:13" ht="12.75">
      <c r="A47" s="2" t="s">
        <v>84</v>
      </c>
      <c r="C47" s="9">
        <v>0</v>
      </c>
      <c r="D47" s="9"/>
      <c r="E47" s="9">
        <v>0</v>
      </c>
      <c r="F47" s="9"/>
      <c r="G47" s="9">
        <v>1500</v>
      </c>
      <c r="H47" s="9"/>
      <c r="I47" s="9">
        <v>1200</v>
      </c>
      <c r="J47" s="9"/>
      <c r="K47" s="6">
        <v>5604</v>
      </c>
      <c r="M47" s="6">
        <f t="shared" si="1"/>
        <v>8304</v>
      </c>
    </row>
    <row r="48" spans="1:13" ht="12.75">
      <c r="A48" s="2" t="s">
        <v>49</v>
      </c>
      <c r="C48" s="9">
        <v>0</v>
      </c>
      <c r="D48" s="9"/>
      <c r="E48" s="9">
        <v>0</v>
      </c>
      <c r="F48" s="9"/>
      <c r="G48" s="9">
        <v>252</v>
      </c>
      <c r="H48" s="9"/>
      <c r="I48" s="9">
        <v>276</v>
      </c>
      <c r="J48" s="6"/>
      <c r="K48" s="6">
        <v>720</v>
      </c>
      <c r="M48" s="6">
        <f t="shared" si="1"/>
        <v>1248</v>
      </c>
    </row>
    <row r="49" spans="1:13" ht="12.75">
      <c r="A49" s="2" t="s">
        <v>31</v>
      </c>
      <c r="C49" s="9">
        <v>0</v>
      </c>
      <c r="D49" s="9"/>
      <c r="E49" s="9">
        <v>0</v>
      </c>
      <c r="F49" s="9"/>
      <c r="G49" s="9">
        <v>2004</v>
      </c>
      <c r="H49" s="9"/>
      <c r="I49" s="9">
        <v>252</v>
      </c>
      <c r="J49" s="9"/>
      <c r="K49" s="6">
        <v>7500</v>
      </c>
      <c r="M49" s="6">
        <f t="shared" si="1"/>
        <v>9756</v>
      </c>
    </row>
    <row r="50" spans="1:13" ht="12.75">
      <c r="A50" s="2" t="s">
        <v>166</v>
      </c>
      <c r="C50" s="9">
        <v>0</v>
      </c>
      <c r="D50" s="9"/>
      <c r="E50" s="9">
        <v>0</v>
      </c>
      <c r="F50" s="9"/>
      <c r="G50" s="9">
        <v>0</v>
      </c>
      <c r="H50" s="9"/>
      <c r="I50" s="9">
        <v>0</v>
      </c>
      <c r="J50" s="9"/>
      <c r="K50" s="6">
        <v>0</v>
      </c>
      <c r="M50" s="6">
        <f t="shared" si="1"/>
        <v>0</v>
      </c>
    </row>
    <row r="51" spans="1:13" ht="12.75">
      <c r="A51" s="2" t="s">
        <v>50</v>
      </c>
      <c r="C51" s="9">
        <v>0</v>
      </c>
      <c r="D51" s="9"/>
      <c r="E51" s="9">
        <v>0</v>
      </c>
      <c r="F51" s="9"/>
      <c r="G51" s="9">
        <v>0</v>
      </c>
      <c r="H51" s="6"/>
      <c r="I51" s="9">
        <v>0</v>
      </c>
      <c r="J51" s="6"/>
      <c r="K51" s="6">
        <v>0</v>
      </c>
      <c r="M51" s="6">
        <f t="shared" si="1"/>
        <v>0</v>
      </c>
    </row>
    <row r="52" spans="1:13" ht="12.75">
      <c r="A52" s="2" t="s">
        <v>85</v>
      </c>
      <c r="C52" s="9">
        <v>0</v>
      </c>
      <c r="D52" s="9"/>
      <c r="E52" s="9">
        <v>0</v>
      </c>
      <c r="F52" s="9"/>
      <c r="G52" s="9">
        <v>0</v>
      </c>
      <c r="H52" s="6"/>
      <c r="I52" s="9">
        <v>0</v>
      </c>
      <c r="J52" s="6"/>
      <c r="K52" s="6">
        <v>0</v>
      </c>
      <c r="M52" s="6">
        <f t="shared" si="1"/>
        <v>0</v>
      </c>
    </row>
    <row r="53" spans="1:13" ht="12.75">
      <c r="A53" s="2" t="s">
        <v>167</v>
      </c>
      <c r="C53" s="9">
        <v>0</v>
      </c>
      <c r="D53" s="9"/>
      <c r="E53" s="9">
        <v>0</v>
      </c>
      <c r="F53" s="9"/>
      <c r="G53" s="9">
        <v>0</v>
      </c>
      <c r="H53" s="6"/>
      <c r="I53" s="9">
        <v>0</v>
      </c>
      <c r="J53" s="6"/>
      <c r="K53" s="6">
        <v>0</v>
      </c>
      <c r="M53" s="6">
        <f t="shared" si="1"/>
        <v>0</v>
      </c>
    </row>
    <row r="54" spans="1:13" ht="12.75">
      <c r="A54" s="2" t="s">
        <v>51</v>
      </c>
      <c r="C54" s="9">
        <v>0</v>
      </c>
      <c r="D54" s="9"/>
      <c r="E54" s="9">
        <v>0</v>
      </c>
      <c r="F54" s="9"/>
      <c r="G54" s="9">
        <v>1236</v>
      </c>
      <c r="I54" s="9">
        <v>600</v>
      </c>
      <c r="K54" s="6">
        <v>3096</v>
      </c>
      <c r="M54" s="6">
        <f t="shared" si="1"/>
        <v>4932</v>
      </c>
    </row>
    <row r="55" ht="3.75" customHeight="1"/>
    <row r="56" spans="1:13" ht="12.75">
      <c r="A56" s="7" t="s">
        <v>1</v>
      </c>
      <c r="B56" s="7"/>
      <c r="C56" s="8">
        <f>SUM(C25:C54)</f>
        <v>0</v>
      </c>
      <c r="D56" s="8"/>
      <c r="E56" s="8">
        <f>SUM(E25:E54)</f>
        <v>3600</v>
      </c>
      <c r="F56" s="8"/>
      <c r="G56" s="8">
        <f>SUM(G25:G54)</f>
        <v>160044</v>
      </c>
      <c r="H56" s="8"/>
      <c r="I56" s="8">
        <f>SUM(I25:I54)</f>
        <v>48144</v>
      </c>
      <c r="J56" s="8"/>
      <c r="K56" s="8">
        <f>SUM(K25:K54)</f>
        <v>154908</v>
      </c>
      <c r="L56" s="8"/>
      <c r="M56" s="8">
        <f>SUM(M25:M54)</f>
        <v>363096</v>
      </c>
    </row>
    <row r="57" spans="3:13" ht="6.75" customHeight="1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3.5" thickBot="1">
      <c r="A58" s="7" t="s">
        <v>179</v>
      </c>
      <c r="B58" s="7"/>
      <c r="C58" s="10">
        <f>C22-C56</f>
        <v>0</v>
      </c>
      <c r="D58" s="10"/>
      <c r="E58" s="11">
        <f>E22-E56</f>
        <v>40260</v>
      </c>
      <c r="F58" s="10"/>
      <c r="G58" s="11">
        <f>G22-G56</f>
        <v>-66000</v>
      </c>
      <c r="H58" s="11"/>
      <c r="I58" s="11">
        <f>I22-I56</f>
        <v>-9636</v>
      </c>
      <c r="J58" s="11"/>
      <c r="K58" s="11">
        <f>K22-K56</f>
        <v>-3288</v>
      </c>
      <c r="L58" s="10"/>
      <c r="M58" s="10">
        <f>M22-M56</f>
        <v>-36264</v>
      </c>
    </row>
    <row r="59" ht="6.75" customHeight="1" thickTop="1"/>
    <row r="60" spans="1:13" ht="12.75">
      <c r="A60" s="198"/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</row>
  </sheetData>
  <sheetProtection/>
  <mergeCells count="5">
    <mergeCell ref="B1:M1"/>
    <mergeCell ref="B2:M2"/>
    <mergeCell ref="B3:M3"/>
    <mergeCell ref="B4:M4"/>
    <mergeCell ref="A60:M6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6:D25"/>
  <sheetViews>
    <sheetView workbookViewId="0" topLeftCell="A13">
      <selection activeCell="B17" sqref="B17"/>
    </sheetView>
  </sheetViews>
  <sheetFormatPr defaultColWidth="9.140625" defaultRowHeight="12.75"/>
  <cols>
    <col min="1" max="1" width="9.140625" style="2" customWidth="1"/>
    <col min="2" max="2" width="70.421875" style="2" bestFit="1" customWidth="1"/>
    <col min="3" max="4" width="9.00390625" style="2" customWidth="1"/>
    <col min="5" max="16384" width="9.140625" style="2" customWidth="1"/>
  </cols>
  <sheetData>
    <row r="1" ht="12.75"/>
    <row r="2" ht="12.75"/>
    <row r="3" ht="12.75"/>
    <row r="4" ht="12.75"/>
    <row r="5" ht="12.75"/>
    <row r="6" spans="2:3" ht="15.75">
      <c r="B6" s="175" t="s">
        <v>191</v>
      </c>
      <c r="C6" s="175"/>
    </row>
    <row r="7" spans="2:3" ht="15.75">
      <c r="B7" s="175" t="s">
        <v>308</v>
      </c>
      <c r="C7" s="175"/>
    </row>
    <row r="8" spans="2:4" ht="14.25" customHeight="1">
      <c r="B8" s="175" t="s">
        <v>24</v>
      </c>
      <c r="C8" s="175"/>
      <c r="D8" s="39"/>
    </row>
    <row r="10" spans="2:4" ht="12.75">
      <c r="B10" s="7" t="s">
        <v>278</v>
      </c>
      <c r="C10" s="3" t="s">
        <v>25</v>
      </c>
      <c r="D10" s="27"/>
    </row>
    <row r="13" spans="2:3" ht="12.75">
      <c r="B13" s="2" t="s">
        <v>312</v>
      </c>
      <c r="C13" s="26">
        <v>3</v>
      </c>
    </row>
    <row r="14" ht="12.75">
      <c r="C14" s="26"/>
    </row>
    <row r="15" ht="12.75">
      <c r="C15" s="26"/>
    </row>
    <row r="16" spans="2:3" ht="12.75">
      <c r="B16" s="2" t="s">
        <v>313</v>
      </c>
      <c r="C16" s="26">
        <v>4</v>
      </c>
    </row>
    <row r="17" ht="12.75">
      <c r="C17" s="26"/>
    </row>
    <row r="18" ht="12.75">
      <c r="C18" s="26"/>
    </row>
    <row r="19" spans="2:3" ht="12.75">
      <c r="B19" s="2" t="s">
        <v>288</v>
      </c>
      <c r="C19" s="26">
        <v>5</v>
      </c>
    </row>
    <row r="20" ht="12.75">
      <c r="C20" s="26"/>
    </row>
    <row r="21" ht="12.75">
      <c r="C21" s="26"/>
    </row>
    <row r="22" spans="2:3" ht="12.75">
      <c r="B22" s="2" t="s">
        <v>23</v>
      </c>
      <c r="C22" s="26">
        <v>6</v>
      </c>
    </row>
    <row r="23" ht="12.75">
      <c r="C23" s="26"/>
    </row>
    <row r="25" spans="2:3" ht="12.75">
      <c r="B25" s="2" t="s">
        <v>235</v>
      </c>
      <c r="C25" s="26">
        <v>7</v>
      </c>
    </row>
  </sheetData>
  <sheetProtection/>
  <mergeCells count="3">
    <mergeCell ref="B6:C6"/>
    <mergeCell ref="B7:C7"/>
    <mergeCell ref="B8:C8"/>
  </mergeCells>
  <printOptions/>
  <pageMargins left="0.7" right="0.7" top="0.75" bottom="0.75" header="0.3" footer="0.3"/>
  <pageSetup fitToHeight="1" fitToWidth="1" horizontalDpi="600" verticalDpi="600" orientation="portrait" paperSize="9" scale="9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I103"/>
  <sheetViews>
    <sheetView tabSelected="1" zoomScale="85" zoomScaleNormal="85" workbookViewId="0" topLeftCell="A1">
      <selection activeCell="F4" sqref="F4"/>
    </sheetView>
  </sheetViews>
  <sheetFormatPr defaultColWidth="9.140625" defaultRowHeight="12.75"/>
  <cols>
    <col min="1" max="1" width="9.140625" style="54" customWidth="1"/>
    <col min="2" max="2" width="32.57421875" style="54" customWidth="1"/>
    <col min="3" max="3" width="12.28125" style="13" customWidth="1"/>
    <col min="4" max="4" width="13.57421875" style="200" customWidth="1"/>
    <col min="5" max="5" width="15.00390625" style="85" customWidth="1"/>
    <col min="6" max="6" width="17.8515625" style="103" customWidth="1"/>
    <col min="7" max="7" width="5.00390625" style="103" customWidth="1"/>
    <col min="8" max="8" width="72.28125" style="54" bestFit="1" customWidth="1"/>
    <col min="9" max="12" width="9.140625" style="54" customWidth="1"/>
    <col min="13" max="16384" width="9.140625" style="54" customWidth="1"/>
  </cols>
  <sheetData>
    <row r="2" ht="12.75">
      <c r="B2"/>
    </row>
    <row r="3" ht="12.75"/>
    <row r="4" ht="12.75"/>
    <row r="5" ht="12.75"/>
    <row r="6" ht="12.75"/>
    <row r="7" spans="2:8" ht="18.75">
      <c r="B7" s="173" t="s">
        <v>191</v>
      </c>
      <c r="C7" s="173"/>
      <c r="D7" s="173"/>
      <c r="E7" s="173"/>
      <c r="F7" s="173"/>
      <c r="H7" s="169"/>
    </row>
    <row r="8" spans="2:8" ht="22.5" customHeight="1">
      <c r="B8" s="173" t="s">
        <v>308</v>
      </c>
      <c r="C8" s="173"/>
      <c r="D8" s="173"/>
      <c r="E8" s="173"/>
      <c r="F8" s="173"/>
      <c r="G8" s="171"/>
      <c r="H8" s="163" t="s">
        <v>102</v>
      </c>
    </row>
    <row r="9" spans="2:7" ht="19.5" customHeight="1">
      <c r="B9" s="16"/>
      <c r="C9" s="176"/>
      <c r="D9" s="176"/>
      <c r="E9" s="176"/>
      <c r="F9" s="176"/>
      <c r="G9" s="42"/>
    </row>
    <row r="10" spans="2:7" ht="44.25" customHeight="1">
      <c r="B10" s="113"/>
      <c r="C10" s="109" t="s">
        <v>289</v>
      </c>
      <c r="D10" s="201" t="s">
        <v>290</v>
      </c>
      <c r="E10" s="115" t="s">
        <v>11</v>
      </c>
      <c r="F10" s="114" t="s">
        <v>275</v>
      </c>
      <c r="G10" s="114"/>
    </row>
    <row r="11" spans="2:7" ht="15.75">
      <c r="B11" s="117" t="s">
        <v>8</v>
      </c>
      <c r="C11" s="118"/>
      <c r="D11" s="202"/>
      <c r="E11" s="120"/>
      <c r="F11" s="121"/>
      <c r="G11" s="121"/>
    </row>
    <row r="12" spans="2:7" ht="15.75">
      <c r="B12" s="116" t="s">
        <v>266</v>
      </c>
      <c r="C12" s="122">
        <f>+'P&amp;L Details'!M11</f>
        <v>0</v>
      </c>
      <c r="D12" s="203">
        <v>0</v>
      </c>
      <c r="E12" s="123">
        <f aca="true" t="shared" si="0" ref="E12:E22">C12-D12</f>
        <v>0</v>
      </c>
      <c r="F12" s="122">
        <v>336626</v>
      </c>
      <c r="G12" s="122"/>
    </row>
    <row r="13" spans="2:7" ht="15.75">
      <c r="B13" s="116" t="s">
        <v>232</v>
      </c>
      <c r="C13" s="122">
        <f>+'P&amp;L Details'!M12</f>
        <v>113192</v>
      </c>
      <c r="D13" s="203">
        <v>113192</v>
      </c>
      <c r="E13" s="123">
        <f t="shared" si="0"/>
        <v>0</v>
      </c>
      <c r="F13" s="122">
        <v>226382</v>
      </c>
      <c r="G13" s="122"/>
    </row>
    <row r="14" spans="2:8" ht="15.75">
      <c r="B14" s="116" t="s">
        <v>260</v>
      </c>
      <c r="C14" s="122">
        <f>+'P&amp;L Details'!M13</f>
        <v>7248</v>
      </c>
      <c r="D14" s="203">
        <v>4000</v>
      </c>
      <c r="E14" s="123">
        <f t="shared" si="0"/>
        <v>3248</v>
      </c>
      <c r="F14" s="122">
        <v>2325</v>
      </c>
      <c r="G14" s="122"/>
      <c r="H14" s="104"/>
    </row>
    <row r="15" spans="2:7" ht="15.75">
      <c r="B15" s="116" t="s">
        <v>211</v>
      </c>
      <c r="C15" s="122">
        <f>+'P&amp;L Details'!M19</f>
        <v>0</v>
      </c>
      <c r="D15" s="203">
        <v>0</v>
      </c>
      <c r="E15" s="123">
        <f t="shared" si="0"/>
        <v>0</v>
      </c>
      <c r="F15" s="122">
        <v>337</v>
      </c>
      <c r="G15" s="122"/>
    </row>
    <row r="16" spans="2:8" ht="15.75">
      <c r="B16" s="116" t="s">
        <v>267</v>
      </c>
      <c r="C16" s="122">
        <f>+'P&amp;L Details'!M15</f>
        <v>20000</v>
      </c>
      <c r="D16" s="203">
        <v>20000</v>
      </c>
      <c r="E16" s="123">
        <f t="shared" si="0"/>
        <v>0</v>
      </c>
      <c r="F16" s="122">
        <v>7500</v>
      </c>
      <c r="G16" s="122"/>
      <c r="H16" s="116" t="s">
        <v>285</v>
      </c>
    </row>
    <row r="17" spans="2:7" ht="15.75">
      <c r="B17" s="116" t="s">
        <v>269</v>
      </c>
      <c r="C17" s="122">
        <f>+'P&amp;L Details'!M16</f>
        <v>1970</v>
      </c>
      <c r="D17" s="203">
        <f>960*2</f>
        <v>1920</v>
      </c>
      <c r="E17" s="123">
        <f t="shared" si="0"/>
        <v>50</v>
      </c>
      <c r="F17" s="122">
        <v>4372</v>
      </c>
      <c r="G17" s="122"/>
    </row>
    <row r="18" spans="2:7" ht="15.75">
      <c r="B18" s="116" t="s">
        <v>270</v>
      </c>
      <c r="C18" s="122">
        <f>+'P&amp;L Details'!M17</f>
        <v>0</v>
      </c>
      <c r="D18" s="203">
        <v>0</v>
      </c>
      <c r="E18" s="123">
        <f t="shared" si="0"/>
        <v>0</v>
      </c>
      <c r="F18" s="122">
        <v>1440</v>
      </c>
      <c r="G18" s="122"/>
    </row>
    <row r="19" spans="2:8" ht="15.75">
      <c r="B19" s="116" t="s">
        <v>268</v>
      </c>
      <c r="C19" s="122">
        <v>3600</v>
      </c>
      <c r="D19" s="203">
        <v>3600</v>
      </c>
      <c r="E19" s="123">
        <f t="shared" si="0"/>
        <v>0</v>
      </c>
      <c r="F19" s="122">
        <v>14700</v>
      </c>
      <c r="G19" s="122"/>
      <c r="H19" s="116" t="s">
        <v>209</v>
      </c>
    </row>
    <row r="20" spans="2:9" ht="15.75">
      <c r="B20" s="116" t="s">
        <v>282</v>
      </c>
      <c r="C20" s="122">
        <f>+'P&amp;L Details'!L18-3600</f>
        <v>26100</v>
      </c>
      <c r="D20" s="203">
        <v>26100</v>
      </c>
      <c r="E20" s="123">
        <f t="shared" si="0"/>
        <v>0</v>
      </c>
      <c r="F20" s="122">
        <v>7800</v>
      </c>
      <c r="G20" s="122"/>
      <c r="H20" s="116" t="s">
        <v>318</v>
      </c>
      <c r="I20" s="87"/>
    </row>
    <row r="21" spans="2:8" ht="15.75">
      <c r="B21" s="116" t="s">
        <v>188</v>
      </c>
      <c r="C21" s="122">
        <f>+'P&amp;L Details'!M14</f>
        <v>64600</v>
      </c>
      <c r="D21" s="203">
        <v>64600</v>
      </c>
      <c r="E21" s="123">
        <f t="shared" si="0"/>
        <v>0</v>
      </c>
      <c r="F21" s="122">
        <v>129200</v>
      </c>
      <c r="G21" s="122"/>
      <c r="H21" s="116"/>
    </row>
    <row r="22" spans="2:8" ht="15.75">
      <c r="B22" s="116" t="s">
        <v>204</v>
      </c>
      <c r="C22" s="122">
        <f>+'P&amp;L Details'!M21</f>
        <v>2470</v>
      </c>
      <c r="D22" s="203">
        <v>9500</v>
      </c>
      <c r="E22" s="123">
        <f t="shared" si="0"/>
        <v>-7030</v>
      </c>
      <c r="F22" s="122">
        <v>19097</v>
      </c>
      <c r="G22" s="122"/>
      <c r="H22" s="116"/>
    </row>
    <row r="23" spans="2:8" ht="15.75">
      <c r="B23" s="116" t="s">
        <v>272</v>
      </c>
      <c r="C23" s="123">
        <v>0</v>
      </c>
      <c r="D23" s="204">
        <v>0</v>
      </c>
      <c r="E23" s="123">
        <v>0</v>
      </c>
      <c r="F23" s="123">
        <v>0</v>
      </c>
      <c r="G23" s="123"/>
      <c r="H23" s="116"/>
    </row>
    <row r="24" spans="2:7" ht="15.75">
      <c r="B24" s="116" t="s">
        <v>283</v>
      </c>
      <c r="C24" s="123">
        <f>+'P&amp;L Details'!G22</f>
        <v>0</v>
      </c>
      <c r="D24" s="204">
        <v>0</v>
      </c>
      <c r="E24" s="123">
        <f>C24-D24</f>
        <v>0</v>
      </c>
      <c r="F24" s="123">
        <v>3000</v>
      </c>
      <c r="G24" s="123"/>
    </row>
    <row r="25" spans="2:7" ht="15.75">
      <c r="B25" s="116"/>
      <c r="C25" s="122"/>
      <c r="D25" s="205"/>
      <c r="E25" s="123"/>
      <c r="F25" s="124"/>
      <c r="G25" s="124"/>
    </row>
    <row r="26" spans="2:9" ht="15.75">
      <c r="B26" s="125" t="s">
        <v>6</v>
      </c>
      <c r="C26" s="126">
        <f>SUM(C12:C24)</f>
        <v>239180</v>
      </c>
      <c r="D26" s="126">
        <f>SUM(D12:D25)</f>
        <v>242912</v>
      </c>
      <c r="E26" s="127">
        <f>+C26-D26</f>
        <v>-3732</v>
      </c>
      <c r="F26" s="128">
        <f>SUM(F12:F25)</f>
        <v>752779</v>
      </c>
      <c r="G26" s="170"/>
      <c r="I26" s="87"/>
    </row>
    <row r="27" spans="2:7" ht="15.75">
      <c r="B27" s="116"/>
      <c r="C27" s="129"/>
      <c r="D27" s="206"/>
      <c r="E27" s="123"/>
      <c r="F27" s="124"/>
      <c r="G27" s="124"/>
    </row>
    <row r="28" spans="2:9" ht="15.75">
      <c r="B28" s="117" t="s">
        <v>0</v>
      </c>
      <c r="C28" s="129"/>
      <c r="D28" s="206"/>
      <c r="E28" s="123"/>
      <c r="F28" s="124"/>
      <c r="G28" s="124"/>
      <c r="H28" s="101"/>
      <c r="I28" s="87"/>
    </row>
    <row r="29" spans="2:8" ht="15.75">
      <c r="B29" s="116" t="s">
        <v>40</v>
      </c>
      <c r="C29" s="130">
        <f>+'P&amp;L Details'!M25</f>
        <v>153898</v>
      </c>
      <c r="D29" s="208">
        <v>160000</v>
      </c>
      <c r="E29" s="123">
        <f aca="true" t="shared" si="1" ref="E29:E68">C29-D29</f>
        <v>-6102</v>
      </c>
      <c r="F29" s="130">
        <v>514247</v>
      </c>
      <c r="G29" s="130"/>
      <c r="H29" s="101"/>
    </row>
    <row r="30" spans="2:8" ht="15.75">
      <c r="B30" s="116" t="s">
        <v>261</v>
      </c>
      <c r="C30" s="130">
        <f>+'P&amp;L Details'!M26</f>
        <v>16979</v>
      </c>
      <c r="D30" s="208">
        <f>D29*10.95/100</f>
        <v>17520</v>
      </c>
      <c r="E30" s="123">
        <f t="shared" si="1"/>
        <v>-541</v>
      </c>
      <c r="F30" s="130">
        <v>46648</v>
      </c>
      <c r="G30" s="130"/>
      <c r="H30" s="101"/>
    </row>
    <row r="31" spans="2:8" ht="15.75">
      <c r="B31" s="116" t="s">
        <v>77</v>
      </c>
      <c r="C31" s="130">
        <f>+'P&amp;L Details'!M28</f>
        <v>1040</v>
      </c>
      <c r="D31" s="208">
        <v>1040</v>
      </c>
      <c r="E31" s="123">
        <f t="shared" si="1"/>
        <v>0</v>
      </c>
      <c r="F31" s="130">
        <v>4890</v>
      </c>
      <c r="G31" s="130"/>
      <c r="H31" s="101"/>
    </row>
    <row r="32" spans="2:8" ht="15.75">
      <c r="B32" s="116" t="s">
        <v>42</v>
      </c>
      <c r="C32" s="131">
        <f>+'P&amp;L Details'!M29</f>
        <v>0</v>
      </c>
      <c r="D32" s="207">
        <v>0</v>
      </c>
      <c r="E32" s="123">
        <f t="shared" si="1"/>
        <v>0</v>
      </c>
      <c r="F32" s="131">
        <v>0</v>
      </c>
      <c r="G32" s="131"/>
      <c r="H32" s="101"/>
    </row>
    <row r="33" spans="2:8" ht="15.75">
      <c r="B33" s="116" t="s">
        <v>43</v>
      </c>
      <c r="C33" s="130">
        <f>+'P&amp;L Details'!M30</f>
        <v>210</v>
      </c>
      <c r="D33" s="208">
        <v>0</v>
      </c>
      <c r="E33" s="123">
        <f t="shared" si="1"/>
        <v>210</v>
      </c>
      <c r="F33" s="130">
        <v>3293</v>
      </c>
      <c r="G33" s="130"/>
      <c r="H33" s="101"/>
    </row>
    <row r="34" spans="2:8" ht="15.75">
      <c r="B34" s="116" t="s">
        <v>215</v>
      </c>
      <c r="C34" s="130">
        <f>+'P&amp;L Details'!M53</f>
        <v>1162</v>
      </c>
      <c r="D34" s="208">
        <v>922</v>
      </c>
      <c r="E34" s="123">
        <f t="shared" si="1"/>
        <v>240</v>
      </c>
      <c r="F34" s="130">
        <v>-2000</v>
      </c>
      <c r="G34" s="130"/>
      <c r="H34" s="101"/>
    </row>
    <row r="35" spans="2:8" ht="15.75">
      <c r="B35" s="116" t="s">
        <v>78</v>
      </c>
      <c r="C35" s="130">
        <f>+'P&amp;L Details'!M31</f>
        <v>0</v>
      </c>
      <c r="D35" s="208">
        <v>210</v>
      </c>
      <c r="E35" s="123">
        <f t="shared" si="1"/>
        <v>-210</v>
      </c>
      <c r="F35" s="130">
        <v>2770</v>
      </c>
      <c r="G35" s="130"/>
      <c r="H35" s="101"/>
    </row>
    <row r="36" spans="2:8" ht="15.75">
      <c r="B36" s="116" t="s">
        <v>161</v>
      </c>
      <c r="C36" s="130">
        <f>+'P&amp;L Details'!M33</f>
        <v>763</v>
      </c>
      <c r="D36" s="208">
        <v>600</v>
      </c>
      <c r="E36" s="123">
        <f t="shared" si="1"/>
        <v>163</v>
      </c>
      <c r="F36" s="130">
        <v>3375</v>
      </c>
      <c r="G36" s="130"/>
      <c r="H36" s="212"/>
    </row>
    <row r="37" spans="2:8" ht="15.75">
      <c r="B37" s="116" t="s">
        <v>81</v>
      </c>
      <c r="C37" s="131">
        <f>+'P&amp;L Details'!M34</f>
        <v>0</v>
      </c>
      <c r="D37" s="207">
        <v>250</v>
      </c>
      <c r="E37" s="123">
        <f t="shared" si="1"/>
        <v>-250</v>
      </c>
      <c r="F37" s="131">
        <v>222</v>
      </c>
      <c r="G37" s="131"/>
      <c r="H37" s="101"/>
    </row>
    <row r="38" spans="2:8" ht="15.75">
      <c r="B38" s="116" t="s">
        <v>262</v>
      </c>
      <c r="C38" s="131">
        <f>+'P&amp;L Details'!M35</f>
        <v>8664</v>
      </c>
      <c r="D38" s="207">
        <v>8664</v>
      </c>
      <c r="E38" s="123">
        <f t="shared" si="1"/>
        <v>0</v>
      </c>
      <c r="F38" s="131">
        <v>46102</v>
      </c>
      <c r="G38" s="131"/>
      <c r="H38" s="101"/>
    </row>
    <row r="39" spans="2:8" ht="15.75">
      <c r="B39" s="116" t="s">
        <v>263</v>
      </c>
      <c r="C39" s="130">
        <f>+'P&amp;L Details'!M36</f>
        <v>3349</v>
      </c>
      <c r="D39" s="208">
        <v>2400</v>
      </c>
      <c r="E39" s="123">
        <f t="shared" si="1"/>
        <v>949</v>
      </c>
      <c r="F39" s="130">
        <v>9058</v>
      </c>
      <c r="G39" s="130"/>
      <c r="H39" s="101" t="s">
        <v>315</v>
      </c>
    </row>
    <row r="40" spans="2:8" ht="15.75">
      <c r="B40" s="116" t="s">
        <v>264</v>
      </c>
      <c r="C40" s="131">
        <f>+'P&amp;L Details'!M37</f>
        <v>322</v>
      </c>
      <c r="D40" s="207">
        <v>200</v>
      </c>
      <c r="E40" s="123">
        <f t="shared" si="1"/>
        <v>122</v>
      </c>
      <c r="F40" s="131">
        <v>1209</v>
      </c>
      <c r="G40" s="131"/>
      <c r="H40" s="101"/>
    </row>
    <row r="41" spans="2:8" ht="15.75">
      <c r="B41" s="116" t="s">
        <v>45</v>
      </c>
      <c r="C41" s="130">
        <f>+'P&amp;L Details'!M41</f>
        <v>1195</v>
      </c>
      <c r="D41" s="208">
        <v>500</v>
      </c>
      <c r="E41" s="123">
        <f t="shared" si="1"/>
        <v>695</v>
      </c>
      <c r="F41" s="130">
        <v>6413</v>
      </c>
      <c r="G41" s="130"/>
      <c r="H41" s="101"/>
    </row>
    <row r="42" spans="2:8" ht="15.75">
      <c r="B42" s="116" t="s">
        <v>225</v>
      </c>
      <c r="C42" s="131">
        <f>+'P&amp;L Details'!M58</f>
        <v>-112</v>
      </c>
      <c r="D42" s="207">
        <v>515</v>
      </c>
      <c r="E42" s="123">
        <f t="shared" si="1"/>
        <v>-627</v>
      </c>
      <c r="F42" s="131">
        <v>2200</v>
      </c>
      <c r="G42" s="131"/>
      <c r="H42" s="101"/>
    </row>
    <row r="43" spans="2:8" ht="15.75">
      <c r="B43" s="116" t="s">
        <v>82</v>
      </c>
      <c r="C43" s="130">
        <f>+'P&amp;L Details'!M42-'P&amp;L Details'!E42</f>
        <v>3647</v>
      </c>
      <c r="D43" s="208">
        <v>2200</v>
      </c>
      <c r="E43" s="161">
        <f t="shared" si="1"/>
        <v>1447</v>
      </c>
      <c r="F43" s="130">
        <v>15349</v>
      </c>
      <c r="G43" s="130"/>
      <c r="H43" s="101" t="s">
        <v>317</v>
      </c>
    </row>
    <row r="44" spans="2:8" ht="15.75">
      <c r="B44" s="116" t="s">
        <v>265</v>
      </c>
      <c r="C44" s="130">
        <f>+'P&amp;L Details'!M44</f>
        <v>1832</v>
      </c>
      <c r="D44" s="208">
        <v>2000</v>
      </c>
      <c r="E44" s="123">
        <f t="shared" si="1"/>
        <v>-168</v>
      </c>
      <c r="F44" s="130">
        <v>2023</v>
      </c>
      <c r="G44" s="130"/>
      <c r="H44" s="101"/>
    </row>
    <row r="45" spans="2:8" ht="15.75">
      <c r="B45" s="116" t="s">
        <v>83</v>
      </c>
      <c r="C45" s="130">
        <f>+'P&amp;L Details'!M45</f>
        <v>3931</v>
      </c>
      <c r="D45" s="208">
        <f>1650*2</f>
        <v>3300</v>
      </c>
      <c r="E45" s="123">
        <f t="shared" si="1"/>
        <v>631</v>
      </c>
      <c r="F45" s="130">
        <v>9243</v>
      </c>
      <c r="G45" s="130"/>
      <c r="H45" s="101"/>
    </row>
    <row r="46" spans="2:7" ht="15.75">
      <c r="B46" s="116" t="s">
        <v>47</v>
      </c>
      <c r="C46" s="130">
        <f>+'P&amp;L Details'!M46</f>
        <v>339</v>
      </c>
      <c r="D46" s="208">
        <v>100</v>
      </c>
      <c r="E46" s="123">
        <f t="shared" si="1"/>
        <v>239</v>
      </c>
      <c r="F46" s="130">
        <v>909</v>
      </c>
      <c r="G46" s="130"/>
    </row>
    <row r="47" spans="2:8" ht="15.75">
      <c r="B47" s="116" t="s">
        <v>214</v>
      </c>
      <c r="C47" s="130">
        <f>+'P&amp;L Details'!M48</f>
        <v>1261.5</v>
      </c>
      <c r="D47" s="208">
        <v>1600</v>
      </c>
      <c r="E47" s="123">
        <f t="shared" si="1"/>
        <v>-338.5</v>
      </c>
      <c r="F47" s="130">
        <v>2855</v>
      </c>
      <c r="G47" s="130"/>
      <c r="H47" s="54" t="s">
        <v>321</v>
      </c>
    </row>
    <row r="48" spans="2:7" ht="15.75">
      <c r="B48" s="116" t="s">
        <v>27</v>
      </c>
      <c r="C48" s="130">
        <f>+'P&amp;L Details'!M47</f>
        <v>8072</v>
      </c>
      <c r="D48" s="208">
        <v>6000</v>
      </c>
      <c r="E48" s="123">
        <f t="shared" si="1"/>
        <v>2072</v>
      </c>
      <c r="F48" s="130">
        <v>15393</v>
      </c>
      <c r="G48" s="130"/>
    </row>
    <row r="49" spans="2:7" ht="15.75">
      <c r="B49" s="116" t="s">
        <v>205</v>
      </c>
      <c r="C49" s="130">
        <f>+'P&amp;L Details'!M40</f>
        <v>48</v>
      </c>
      <c r="D49" s="208">
        <v>200</v>
      </c>
      <c r="E49" s="123">
        <f t="shared" si="1"/>
        <v>-152</v>
      </c>
      <c r="F49" s="130">
        <v>7950</v>
      </c>
      <c r="G49" s="130"/>
    </row>
    <row r="50" spans="2:8" ht="15.75">
      <c r="B50" s="116" t="s">
        <v>218</v>
      </c>
      <c r="C50" s="131">
        <f>+'P&amp;L Details'!E42</f>
        <v>841</v>
      </c>
      <c r="D50" s="207">
        <v>750</v>
      </c>
      <c r="E50" s="123">
        <f t="shared" si="1"/>
        <v>91</v>
      </c>
      <c r="F50" s="131">
        <v>3981.33</v>
      </c>
      <c r="G50" s="131"/>
      <c r="H50" s="54" t="s">
        <v>316</v>
      </c>
    </row>
    <row r="51" spans="2:7" ht="15.75">
      <c r="B51" s="116" t="s">
        <v>199</v>
      </c>
      <c r="C51" s="131">
        <f>+'P&amp;L Details'!M50</f>
        <v>342</v>
      </c>
      <c r="D51" s="207">
        <v>250</v>
      </c>
      <c r="E51" s="123">
        <f t="shared" si="1"/>
        <v>92</v>
      </c>
      <c r="F51" s="131">
        <v>237</v>
      </c>
      <c r="G51" s="131"/>
    </row>
    <row r="52" spans="2:7" ht="15.75">
      <c r="B52" s="116" t="s">
        <v>233</v>
      </c>
      <c r="C52" s="130">
        <f>+'P&amp;L Details'!M49</f>
        <v>294</v>
      </c>
      <c r="D52" s="208">
        <v>300</v>
      </c>
      <c r="E52" s="123">
        <f t="shared" si="1"/>
        <v>-6</v>
      </c>
      <c r="F52" s="130">
        <v>1485</v>
      </c>
      <c r="G52" s="130"/>
    </row>
    <row r="53" spans="2:7" ht="15.75">
      <c r="B53" s="116" t="s">
        <v>226</v>
      </c>
      <c r="C53" s="130">
        <v>0</v>
      </c>
      <c r="D53" s="208">
        <v>300</v>
      </c>
      <c r="E53" s="123">
        <f t="shared" si="1"/>
        <v>-300</v>
      </c>
      <c r="F53" s="130">
        <v>0</v>
      </c>
      <c r="G53" s="130"/>
    </row>
    <row r="54" spans="2:7" ht="15.75">
      <c r="B54" s="116" t="s">
        <v>227</v>
      </c>
      <c r="C54" s="131">
        <f>+'P&amp;L Details'!M43</f>
        <v>0</v>
      </c>
      <c r="D54" s="207">
        <v>200</v>
      </c>
      <c r="E54" s="123">
        <f t="shared" si="1"/>
        <v>-200</v>
      </c>
      <c r="F54" s="131">
        <v>2214</v>
      </c>
      <c r="G54" s="131"/>
    </row>
    <row r="55" spans="2:7" ht="15.75">
      <c r="B55" s="116" t="s">
        <v>195</v>
      </c>
      <c r="C55" s="130">
        <f>+'P&amp;L Details'!M51</f>
        <v>700</v>
      </c>
      <c r="D55" s="208">
        <f>380*2</f>
        <v>760</v>
      </c>
      <c r="E55" s="123">
        <f t="shared" si="1"/>
        <v>-60</v>
      </c>
      <c r="F55" s="130">
        <v>0</v>
      </c>
      <c r="G55" s="130"/>
    </row>
    <row r="56" spans="2:7" ht="15.75">
      <c r="B56" s="116" t="s">
        <v>196</v>
      </c>
      <c r="C56" s="131">
        <v>0</v>
      </c>
      <c r="D56" s="207">
        <v>0</v>
      </c>
      <c r="E56" s="123">
        <f t="shared" si="1"/>
        <v>0</v>
      </c>
      <c r="F56" s="131">
        <v>0</v>
      </c>
      <c r="G56" s="131"/>
    </row>
    <row r="57" spans="2:7" ht="15.75">
      <c r="B57" s="116" t="s">
        <v>200</v>
      </c>
      <c r="C57" s="131">
        <f>+'P&amp;L Details'!M52+'P&amp;L Details'!M55</f>
        <v>1960</v>
      </c>
      <c r="D57" s="207">
        <v>2000</v>
      </c>
      <c r="E57" s="123">
        <f t="shared" si="1"/>
        <v>-40</v>
      </c>
      <c r="F57" s="131">
        <v>3387</v>
      </c>
      <c r="G57" s="131"/>
    </row>
    <row r="58" spans="2:7" ht="15.75">
      <c r="B58" s="116" t="s">
        <v>194</v>
      </c>
      <c r="C58" s="131">
        <f>+'P&amp;L Details'!M56</f>
        <v>136</v>
      </c>
      <c r="D58" s="207">
        <f>387*2</f>
        <v>774</v>
      </c>
      <c r="E58" s="123">
        <f t="shared" si="1"/>
        <v>-638</v>
      </c>
      <c r="F58" s="131">
        <v>6194</v>
      </c>
      <c r="G58" s="131"/>
    </row>
    <row r="59" spans="2:8" ht="15.75">
      <c r="B59" s="116" t="s">
        <v>300</v>
      </c>
      <c r="C59" s="131">
        <f>+'P&amp;L Details'!M57+1104</f>
        <v>2989</v>
      </c>
      <c r="D59" s="207">
        <v>0</v>
      </c>
      <c r="E59" s="123">
        <f t="shared" si="1"/>
        <v>2989</v>
      </c>
      <c r="F59" s="131">
        <v>0</v>
      </c>
      <c r="G59" s="131"/>
      <c r="H59" s="54" t="s">
        <v>314</v>
      </c>
    </row>
    <row r="60" spans="2:7" ht="15.75">
      <c r="B60" s="116" t="s">
        <v>177</v>
      </c>
      <c r="C60" s="130">
        <f>+'P&amp;L Details'!M59</f>
        <v>2589</v>
      </c>
      <c r="D60" s="208">
        <v>2000</v>
      </c>
      <c r="E60" s="123">
        <f t="shared" si="1"/>
        <v>589</v>
      </c>
      <c r="F60" s="130">
        <v>15626</v>
      </c>
      <c r="G60" s="130"/>
    </row>
    <row r="61" spans="2:7" ht="15.75">
      <c r="B61" s="116" t="s">
        <v>49</v>
      </c>
      <c r="C61" s="130">
        <f>+'P&amp;L Details'!M60</f>
        <v>483</v>
      </c>
      <c r="D61" s="208">
        <v>300</v>
      </c>
      <c r="E61" s="123">
        <f t="shared" si="1"/>
        <v>183</v>
      </c>
      <c r="F61" s="130">
        <v>3181</v>
      </c>
      <c r="G61" s="130"/>
    </row>
    <row r="62" spans="2:8" ht="15.75">
      <c r="B62" s="116" t="s">
        <v>254</v>
      </c>
      <c r="C62" s="130">
        <f>+'P&amp;L Details'!M54-1104</f>
        <v>13487</v>
      </c>
      <c r="D62" s="208">
        <v>13000</v>
      </c>
      <c r="E62" s="123">
        <f t="shared" si="1"/>
        <v>487</v>
      </c>
      <c r="F62" s="130">
        <v>5817</v>
      </c>
      <c r="G62" s="130"/>
      <c r="H62" s="213" t="s">
        <v>319</v>
      </c>
    </row>
    <row r="63" spans="2:7" ht="15.75">
      <c r="B63" s="116" t="s">
        <v>31</v>
      </c>
      <c r="C63" s="130">
        <f>+'P&amp;L Details'!M61</f>
        <v>0</v>
      </c>
      <c r="D63" s="208">
        <v>0</v>
      </c>
      <c r="E63" s="123">
        <f t="shared" si="1"/>
        <v>0</v>
      </c>
      <c r="F63" s="130">
        <v>480</v>
      </c>
      <c r="G63" s="130"/>
    </row>
    <row r="64" spans="2:7" ht="15.75">
      <c r="B64" s="116" t="s">
        <v>224</v>
      </c>
      <c r="C64" s="131">
        <f>+'P&amp;L Details'!M62-'P&amp;L Details'!D62-'P&amp;L Details'!C62</f>
        <v>3815</v>
      </c>
      <c r="D64" s="207">
        <f>1962*2</f>
        <v>3924</v>
      </c>
      <c r="E64" s="123">
        <f t="shared" si="1"/>
        <v>-109</v>
      </c>
      <c r="F64" s="131">
        <v>4616</v>
      </c>
      <c r="G64" s="131"/>
    </row>
    <row r="65" spans="2:7" ht="14.25" customHeight="1">
      <c r="B65" s="116" t="s">
        <v>206</v>
      </c>
      <c r="C65" s="130">
        <f>+'P&amp;L Details'!C62+'P&amp;L Details'!D62</f>
        <v>6226</v>
      </c>
      <c r="D65" s="208">
        <f>3848*2</f>
        <v>7696</v>
      </c>
      <c r="E65" s="123">
        <f t="shared" si="1"/>
        <v>-1470</v>
      </c>
      <c r="F65" s="130">
        <v>10405</v>
      </c>
      <c r="G65" s="130"/>
    </row>
    <row r="66" spans="2:7" ht="15.75">
      <c r="B66" s="116" t="s">
        <v>228</v>
      </c>
      <c r="C66" s="131">
        <f>+'P&amp;L Details'!M38</f>
        <v>0</v>
      </c>
      <c r="D66" s="207">
        <v>0</v>
      </c>
      <c r="E66" s="123">
        <f t="shared" si="1"/>
        <v>0</v>
      </c>
      <c r="F66" s="131">
        <v>0</v>
      </c>
      <c r="G66" s="131"/>
    </row>
    <row r="67" spans="2:7" ht="14.25" customHeight="1">
      <c r="B67" s="116" t="s">
        <v>85</v>
      </c>
      <c r="C67" s="130">
        <f>+'P&amp;L Details'!M63</f>
        <v>2500</v>
      </c>
      <c r="D67" s="208">
        <f>1250*2</f>
        <v>2500</v>
      </c>
      <c r="E67" s="123">
        <f t="shared" si="1"/>
        <v>0</v>
      </c>
      <c r="F67" s="130">
        <v>5045</v>
      </c>
      <c r="G67" s="130"/>
    </row>
    <row r="68" spans="2:7" ht="15.75">
      <c r="B68" s="116" t="s">
        <v>51</v>
      </c>
      <c r="C68" s="130">
        <f>+'P&amp;L Details'!M64</f>
        <v>4367</v>
      </c>
      <c r="D68" s="208">
        <f>2185*2</f>
        <v>4370</v>
      </c>
      <c r="E68" s="123">
        <f t="shared" si="1"/>
        <v>-3</v>
      </c>
      <c r="F68" s="130">
        <v>25564</v>
      </c>
      <c r="G68" s="130"/>
    </row>
    <row r="69" spans="2:7" ht="15.75">
      <c r="B69" s="116"/>
      <c r="C69" s="130"/>
      <c r="D69" s="209"/>
      <c r="E69" s="132"/>
      <c r="F69" s="124"/>
      <c r="G69" s="124"/>
    </row>
    <row r="70" spans="2:7" ht="15.75">
      <c r="B70" s="125" t="s">
        <v>1</v>
      </c>
      <c r="C70" s="160">
        <f>SUM(C29:C68)</f>
        <v>247329.5</v>
      </c>
      <c r="D70" s="160">
        <f>SUM(D29:D69)</f>
        <v>247345</v>
      </c>
      <c r="E70" s="128">
        <f>+C70-D70</f>
        <v>-15.5</v>
      </c>
      <c r="F70" s="128">
        <f>SUM(F29:F69)</f>
        <v>780381.33</v>
      </c>
      <c r="G70" s="170"/>
    </row>
    <row r="71" spans="2:7" ht="15.75">
      <c r="B71" s="116"/>
      <c r="C71" s="122"/>
      <c r="D71" s="206"/>
      <c r="E71" s="133"/>
      <c r="F71" s="124"/>
      <c r="G71" s="124"/>
    </row>
    <row r="72" spans="2:7" ht="15.75">
      <c r="B72" s="116"/>
      <c r="C72" s="122"/>
      <c r="D72" s="206"/>
      <c r="E72" s="133"/>
      <c r="F72" s="124"/>
      <c r="G72" s="124"/>
    </row>
    <row r="73" spans="2:7" ht="15.75">
      <c r="B73" s="116"/>
      <c r="C73" s="122"/>
      <c r="D73" s="206"/>
      <c r="E73" s="133"/>
      <c r="F73" s="124"/>
      <c r="G73" s="124"/>
    </row>
    <row r="74" spans="2:9" ht="15.75">
      <c r="B74" s="125" t="str">
        <f>'P&amp;L Details'!A67</f>
        <v>Surplus/(Deficit) for period</v>
      </c>
      <c r="C74" s="126">
        <f>C26-C70+C72</f>
        <v>-8149.5</v>
      </c>
      <c r="D74" s="160">
        <f>D26-D70+D72</f>
        <v>-4433</v>
      </c>
      <c r="E74" s="128">
        <f>+C74-D74</f>
        <v>-3716.5</v>
      </c>
      <c r="F74" s="128">
        <f>F26-F70</f>
        <v>-27602.329999999958</v>
      </c>
      <c r="G74" s="170"/>
      <c r="H74" s="89" t="s">
        <v>320</v>
      </c>
      <c r="I74" s="13"/>
    </row>
    <row r="75" spans="2:7" ht="15.75">
      <c r="B75" s="116"/>
      <c r="C75" s="129"/>
      <c r="D75" s="210"/>
      <c r="E75" s="133"/>
      <c r="F75" s="124"/>
      <c r="G75" s="124"/>
    </row>
    <row r="76" spans="2:7" ht="15.75">
      <c r="B76" s="116"/>
      <c r="C76" s="129"/>
      <c r="D76" s="206"/>
      <c r="E76" s="133"/>
      <c r="F76" s="124"/>
      <c r="G76" s="124"/>
    </row>
    <row r="77" spans="2:7" ht="15.75">
      <c r="B77" s="116"/>
      <c r="C77" s="129"/>
      <c r="D77" s="206"/>
      <c r="E77" s="133"/>
      <c r="F77" s="124"/>
      <c r="G77" s="124"/>
    </row>
    <row r="78" spans="2:7" ht="12.75">
      <c r="B78" s="89"/>
      <c r="C78" s="88"/>
      <c r="D78" s="211"/>
      <c r="E78" s="87"/>
      <c r="F78" s="100"/>
      <c r="G78" s="100"/>
    </row>
    <row r="79" spans="3:7" ht="12.75">
      <c r="C79" s="88"/>
      <c r="D79" s="211"/>
      <c r="E79" s="87"/>
      <c r="F79" s="100"/>
      <c r="G79" s="100"/>
    </row>
    <row r="80" spans="3:7" ht="12.75">
      <c r="C80" s="88"/>
      <c r="D80" s="211"/>
      <c r="E80" s="87"/>
      <c r="F80" s="100"/>
      <c r="G80" s="100"/>
    </row>
    <row r="81" spans="3:7" ht="12.75">
      <c r="C81" s="88"/>
      <c r="D81" s="211"/>
      <c r="E81" s="87"/>
      <c r="F81" s="100"/>
      <c r="G81" s="100"/>
    </row>
    <row r="82" spans="3:7" ht="12.75">
      <c r="C82" s="88"/>
      <c r="D82" s="211"/>
      <c r="E82" s="87"/>
      <c r="F82" s="100"/>
      <c r="G82" s="100"/>
    </row>
    <row r="83" spans="3:7" ht="12.75">
      <c r="C83" s="88"/>
      <c r="D83" s="211"/>
      <c r="E83" s="87"/>
      <c r="F83" s="100"/>
      <c r="G83" s="100"/>
    </row>
    <row r="84" spans="3:7" ht="12.75">
      <c r="C84" s="88"/>
      <c r="D84" s="211"/>
      <c r="E84" s="87"/>
      <c r="F84" s="100"/>
      <c r="G84" s="100"/>
    </row>
    <row r="85" spans="3:7" ht="12.75">
      <c r="C85" s="88"/>
      <c r="D85" s="211"/>
      <c r="E85" s="87"/>
      <c r="F85" s="100"/>
      <c r="G85" s="100"/>
    </row>
    <row r="86" spans="3:7" ht="12.75">
      <c r="C86" s="88"/>
      <c r="D86" s="211"/>
      <c r="E86" s="87"/>
      <c r="F86" s="100"/>
      <c r="G86" s="100"/>
    </row>
    <row r="87" spans="3:7" ht="12.75">
      <c r="C87" s="88"/>
      <c r="D87" s="211"/>
      <c r="E87" s="87"/>
      <c r="F87" s="100"/>
      <c r="G87" s="100"/>
    </row>
    <row r="88" spans="3:7" ht="12.75">
      <c r="C88" s="88"/>
      <c r="D88" s="211"/>
      <c r="E88" s="87"/>
      <c r="F88" s="100"/>
      <c r="G88" s="100"/>
    </row>
    <row r="89" spans="3:7" ht="12.75">
      <c r="C89" s="88"/>
      <c r="D89" s="211"/>
      <c r="E89" s="87"/>
      <c r="F89" s="100"/>
      <c r="G89" s="100"/>
    </row>
    <row r="90" spans="3:7" ht="12.75">
      <c r="C90" s="88"/>
      <c r="D90" s="211"/>
      <c r="E90" s="87"/>
      <c r="F90" s="100"/>
      <c r="G90" s="100"/>
    </row>
    <row r="91" spans="3:7" ht="12.75">
      <c r="C91" s="88"/>
      <c r="D91" s="211"/>
      <c r="E91" s="87"/>
      <c r="F91" s="100"/>
      <c r="G91" s="100"/>
    </row>
    <row r="92" spans="3:7" ht="12.75">
      <c r="C92" s="88"/>
      <c r="D92" s="211"/>
      <c r="E92" s="87"/>
      <c r="F92" s="100"/>
      <c r="G92" s="100"/>
    </row>
    <row r="93" spans="3:7" ht="12.75">
      <c r="C93" s="88"/>
      <c r="D93" s="211"/>
      <c r="E93" s="87"/>
      <c r="F93" s="100"/>
      <c r="G93" s="100"/>
    </row>
    <row r="94" spans="3:7" ht="12.75">
      <c r="C94" s="88"/>
      <c r="D94" s="211"/>
      <c r="E94" s="87"/>
      <c r="F94" s="100"/>
      <c r="G94" s="100"/>
    </row>
    <row r="95" spans="3:7" ht="12.75">
      <c r="C95" s="88"/>
      <c r="D95" s="211"/>
      <c r="E95" s="87"/>
      <c r="F95" s="100"/>
      <c r="G95" s="100"/>
    </row>
    <row r="96" spans="3:7" ht="12.75">
      <c r="C96" s="88"/>
      <c r="D96" s="211"/>
      <c r="E96" s="87"/>
      <c r="F96" s="100"/>
      <c r="G96" s="100"/>
    </row>
    <row r="97" spans="3:7" ht="12.75">
      <c r="C97" s="88"/>
      <c r="D97" s="211"/>
      <c r="E97" s="87"/>
      <c r="F97" s="100"/>
      <c r="G97" s="100"/>
    </row>
    <row r="98" spans="3:7" ht="12.75">
      <c r="C98" s="88"/>
      <c r="D98" s="211"/>
      <c r="E98" s="87"/>
      <c r="F98" s="100"/>
      <c r="G98" s="100"/>
    </row>
    <row r="99" spans="3:7" ht="12.75">
      <c r="C99" s="88"/>
      <c r="D99" s="211"/>
      <c r="E99" s="87"/>
      <c r="F99" s="100"/>
      <c r="G99" s="100"/>
    </row>
    <row r="100" spans="3:7" ht="12.75">
      <c r="C100" s="88"/>
      <c r="D100" s="211"/>
      <c r="E100" s="87"/>
      <c r="F100" s="100"/>
      <c r="G100" s="100"/>
    </row>
    <row r="101" spans="3:7" ht="12.75">
      <c r="C101" s="88"/>
      <c r="D101" s="211"/>
      <c r="E101" s="87"/>
      <c r="F101" s="100"/>
      <c r="G101" s="100"/>
    </row>
    <row r="102" spans="3:7" ht="12.75">
      <c r="C102" s="88"/>
      <c r="D102" s="211"/>
      <c r="E102" s="87"/>
      <c r="F102" s="100"/>
      <c r="G102" s="100"/>
    </row>
    <row r="103" spans="3:7" ht="12.75">
      <c r="C103" s="88"/>
      <c r="D103" s="211"/>
      <c r="E103" s="87"/>
      <c r="F103" s="100"/>
      <c r="G103" s="100"/>
    </row>
  </sheetData>
  <sheetProtection/>
  <mergeCells count="3">
    <mergeCell ref="C9:F9"/>
    <mergeCell ref="B8:F8"/>
    <mergeCell ref="B7:F7"/>
  </mergeCells>
  <printOptions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79"/>
  <sheetViews>
    <sheetView zoomScale="98" zoomScaleNormal="98" workbookViewId="0" topLeftCell="A1">
      <pane ySplit="9" topLeftCell="A10" activePane="bottomLeft" state="frozen"/>
      <selection pane="topLeft" activeCell="A1" sqref="A1"/>
      <selection pane="bottomLeft" activeCell="K4" sqref="K4"/>
    </sheetView>
  </sheetViews>
  <sheetFormatPr defaultColWidth="6.00390625" defaultRowHeight="12.75"/>
  <cols>
    <col min="1" max="1" width="38.421875" style="2" bestFit="1" customWidth="1"/>
    <col min="2" max="3" width="11.57421875" style="2" bestFit="1" customWidth="1"/>
    <col min="4" max="4" width="10.7109375" style="2" customWidth="1"/>
    <col min="5" max="5" width="11.00390625" style="2" customWidth="1"/>
    <col min="6" max="6" width="10.7109375" style="2" customWidth="1"/>
    <col min="7" max="9" width="11.140625" style="2" customWidth="1"/>
    <col min="10" max="10" width="10.140625" style="2" customWidth="1"/>
    <col min="11" max="11" width="9.421875" style="2" customWidth="1"/>
    <col min="12" max="12" width="11.00390625" style="2" customWidth="1"/>
    <col min="13" max="13" width="12.57421875" style="54" customWidth="1"/>
    <col min="14" max="14" width="6.00390625" style="2" customWidth="1"/>
    <col min="15" max="15" width="51.8515625" style="2" bestFit="1" customWidth="1"/>
    <col min="16" max="16384" width="6.00390625" style="2" customWidth="1"/>
  </cols>
  <sheetData>
    <row r="1" ht="12.75"/>
    <row r="2" ht="12.75"/>
    <row r="3" ht="12.75"/>
    <row r="4" ht="12.75"/>
    <row r="5" ht="12.75">
      <c r="A5" s="110"/>
    </row>
    <row r="6" spans="1:13" ht="18.75">
      <c r="A6" s="173" t="s">
        <v>191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</row>
    <row r="7" spans="1:13" ht="18.75">
      <c r="A7" s="173" t="s">
        <v>309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</row>
    <row r="8" spans="1:13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5" ht="48" thickBot="1">
      <c r="A9" s="112"/>
      <c r="B9" s="111" t="s">
        <v>248</v>
      </c>
      <c r="C9" s="111" t="s">
        <v>209</v>
      </c>
      <c r="D9" s="111" t="s">
        <v>277</v>
      </c>
      <c r="E9" s="111" t="s">
        <v>276</v>
      </c>
      <c r="F9" s="111" t="s">
        <v>271</v>
      </c>
      <c r="G9" s="111" t="s">
        <v>272</v>
      </c>
      <c r="H9" s="111" t="s">
        <v>283</v>
      </c>
      <c r="I9" s="111" t="s">
        <v>273</v>
      </c>
      <c r="J9" s="111" t="s">
        <v>322</v>
      </c>
      <c r="K9" s="111" t="s">
        <v>299</v>
      </c>
      <c r="L9" s="111" t="s">
        <v>274</v>
      </c>
      <c r="M9" s="111" t="s">
        <v>6</v>
      </c>
      <c r="N9" s="110"/>
      <c r="O9" s="167"/>
    </row>
    <row r="10" spans="1:14" ht="15.75">
      <c r="A10" s="134" t="s">
        <v>8</v>
      </c>
      <c r="B10" s="116"/>
      <c r="C10" s="118"/>
      <c r="D10" s="116"/>
      <c r="E10" s="118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5" ht="15.75">
      <c r="A11" s="116" t="s">
        <v>266</v>
      </c>
      <c r="B11" s="119">
        <v>0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>
        <f aca="true" t="shared" si="0" ref="M11:M22">SUM(B11:L11)</f>
        <v>0</v>
      </c>
      <c r="N11" s="120"/>
      <c r="O11" s="54"/>
    </row>
    <row r="12" spans="1:15" ht="15.75">
      <c r="A12" s="116" t="s">
        <v>183</v>
      </c>
      <c r="B12" s="119"/>
      <c r="C12" s="119">
        <v>113192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>
        <f t="shared" si="0"/>
        <v>113192</v>
      </c>
      <c r="N12" s="116"/>
      <c r="O12" s="54"/>
    </row>
    <row r="13" spans="1:15" ht="15.75">
      <c r="A13" s="116" t="s">
        <v>260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>
        <v>2550</v>
      </c>
      <c r="L13" s="119">
        <v>4698</v>
      </c>
      <c r="M13" s="119">
        <f t="shared" si="0"/>
        <v>7248</v>
      </c>
      <c r="N13" s="116"/>
      <c r="O13" s="166"/>
    </row>
    <row r="14" spans="1:15" ht="15.75">
      <c r="A14" s="116" t="s">
        <v>210</v>
      </c>
      <c r="B14" s="119"/>
      <c r="C14" s="119"/>
      <c r="D14" s="119">
        <v>64600</v>
      </c>
      <c r="E14" s="119"/>
      <c r="F14" s="119"/>
      <c r="G14" s="119"/>
      <c r="H14" s="119"/>
      <c r="I14" s="119"/>
      <c r="J14" s="119"/>
      <c r="K14" s="119"/>
      <c r="L14" s="119"/>
      <c r="M14" s="119">
        <f t="shared" si="0"/>
        <v>64600</v>
      </c>
      <c r="N14" s="116"/>
      <c r="O14" s="54"/>
    </row>
    <row r="15" spans="1:15" ht="15.75">
      <c r="A15" s="116" t="s">
        <v>219</v>
      </c>
      <c r="B15" s="119"/>
      <c r="C15" s="119"/>
      <c r="D15" s="119"/>
      <c r="E15" s="119"/>
      <c r="F15" s="119"/>
      <c r="G15" s="119"/>
      <c r="H15" s="119"/>
      <c r="I15" s="119">
        <v>10000</v>
      </c>
      <c r="J15" s="119">
        <v>10000</v>
      </c>
      <c r="K15" s="119"/>
      <c r="L15" s="119"/>
      <c r="M15" s="119">
        <f t="shared" si="0"/>
        <v>20000</v>
      </c>
      <c r="N15" s="116"/>
      <c r="O15" s="167"/>
    </row>
    <row r="16" spans="1:15" ht="15.75">
      <c r="A16" s="116" t="s">
        <v>269</v>
      </c>
      <c r="B16" s="119"/>
      <c r="C16" s="119">
        <v>1970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>
        <f t="shared" si="0"/>
        <v>1970</v>
      </c>
      <c r="N16" s="116"/>
      <c r="O16" s="54"/>
    </row>
    <row r="17" spans="1:15" ht="15.75">
      <c r="A17" s="116" t="s">
        <v>270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>
        <f t="shared" si="0"/>
        <v>0</v>
      </c>
      <c r="N17" s="116"/>
      <c r="O17" s="54"/>
    </row>
    <row r="18" spans="1:15" ht="15.75">
      <c r="A18" s="116" t="s">
        <v>282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>
        <f>3600+22500+3600</f>
        <v>29700</v>
      </c>
      <c r="M18" s="119">
        <f t="shared" si="0"/>
        <v>29700</v>
      </c>
      <c r="N18" s="116"/>
      <c r="O18" s="167"/>
    </row>
    <row r="19" spans="1:15" ht="15.75">
      <c r="A19" s="116" t="s">
        <v>207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>
        <f t="shared" si="0"/>
        <v>0</v>
      </c>
      <c r="N19" s="116"/>
      <c r="O19" s="167"/>
    </row>
    <row r="20" spans="1:15" ht="15.75">
      <c r="A20" s="116" t="s">
        <v>192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>
        <f t="shared" si="0"/>
        <v>0</v>
      </c>
      <c r="N20" s="116"/>
      <c r="O20" s="54"/>
    </row>
    <row r="21" spans="1:15" ht="15.75">
      <c r="A21" s="135" t="s">
        <v>203</v>
      </c>
      <c r="B21" s="119"/>
      <c r="C21" s="119"/>
      <c r="D21" s="119"/>
      <c r="E21" s="119"/>
      <c r="F21" s="119">
        <f>901+1569</f>
        <v>2470</v>
      </c>
      <c r="G21" s="119"/>
      <c r="H21" s="119"/>
      <c r="I21" s="119"/>
      <c r="J21" s="119"/>
      <c r="K21" s="119"/>
      <c r="L21" s="119"/>
      <c r="M21" s="119">
        <f t="shared" si="0"/>
        <v>2470</v>
      </c>
      <c r="N21" s="116"/>
      <c r="O21" s="54"/>
    </row>
    <row r="22" spans="1:14" ht="15.75">
      <c r="A22" s="135" t="s">
        <v>6</v>
      </c>
      <c r="B22" s="137">
        <f aca="true" t="shared" si="1" ref="B22:H22">SUM(B11:B21)</f>
        <v>0</v>
      </c>
      <c r="C22" s="137">
        <f t="shared" si="1"/>
        <v>115162</v>
      </c>
      <c r="D22" s="137">
        <f t="shared" si="1"/>
        <v>64600</v>
      </c>
      <c r="E22" s="137">
        <f t="shared" si="1"/>
        <v>0</v>
      </c>
      <c r="F22" s="137">
        <f t="shared" si="1"/>
        <v>2470</v>
      </c>
      <c r="G22" s="137">
        <f t="shared" si="1"/>
        <v>0</v>
      </c>
      <c r="H22" s="137">
        <f t="shared" si="1"/>
        <v>0</v>
      </c>
      <c r="I22" s="137">
        <f>SUM(I11:I21)</f>
        <v>10000</v>
      </c>
      <c r="J22" s="137">
        <f>SUM(J11:J21)</f>
        <v>10000</v>
      </c>
      <c r="K22" s="137">
        <f>SUM(K11:K21)</f>
        <v>2550</v>
      </c>
      <c r="L22" s="137">
        <f>SUM(L11:L21)</f>
        <v>34398</v>
      </c>
      <c r="M22" s="137">
        <f t="shared" si="0"/>
        <v>239180</v>
      </c>
      <c r="N22" s="138"/>
    </row>
    <row r="23" spans="1:14" ht="9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9"/>
      <c r="N23" s="138"/>
    </row>
    <row r="24" spans="1:14" ht="15.75">
      <c r="A24" s="117" t="s">
        <v>0</v>
      </c>
      <c r="B24" s="119"/>
      <c r="C24" s="116"/>
      <c r="D24" s="119"/>
      <c r="E24" s="116"/>
      <c r="F24" s="119"/>
      <c r="G24" s="119"/>
      <c r="H24" s="119"/>
      <c r="I24" s="119"/>
      <c r="J24" s="119"/>
      <c r="K24" s="119"/>
      <c r="L24" s="116"/>
      <c r="M24" s="119"/>
      <c r="N24" s="116"/>
    </row>
    <row r="25" spans="1:14" ht="15.75">
      <c r="A25" s="116" t="s">
        <v>40</v>
      </c>
      <c r="B25" s="119"/>
      <c r="C25" s="120">
        <v>85876</v>
      </c>
      <c r="D25" s="119">
        <v>49022</v>
      </c>
      <c r="E25" s="120"/>
      <c r="F25" s="119"/>
      <c r="G25" s="119"/>
      <c r="H25" s="119"/>
      <c r="I25" s="119"/>
      <c r="J25" s="119"/>
      <c r="K25" s="119"/>
      <c r="L25" s="120">
        <v>19000</v>
      </c>
      <c r="M25" s="139">
        <f>SUM(B25:L25)</f>
        <v>153898</v>
      </c>
      <c r="N25" s="116"/>
    </row>
    <row r="26" spans="1:14" ht="15.75">
      <c r="A26" s="116" t="s">
        <v>41</v>
      </c>
      <c r="B26" s="119"/>
      <c r="C26" s="120">
        <v>9804</v>
      </c>
      <c r="D26" s="119">
        <v>5075</v>
      </c>
      <c r="E26" s="120"/>
      <c r="F26" s="119"/>
      <c r="G26" s="119"/>
      <c r="H26" s="119"/>
      <c r="I26" s="119"/>
      <c r="J26" s="119"/>
      <c r="K26" s="119"/>
      <c r="L26" s="120">
        <v>2100</v>
      </c>
      <c r="M26" s="139">
        <f aca="true" t="shared" si="2" ref="M26:M64">SUM(B26:L26)</f>
        <v>16979</v>
      </c>
      <c r="N26" s="116"/>
    </row>
    <row r="27" spans="1:14" ht="15.75" hidden="1">
      <c r="A27" s="116" t="s">
        <v>171</v>
      </c>
      <c r="B27" s="119"/>
      <c r="C27" s="120"/>
      <c r="D27" s="119"/>
      <c r="E27" s="120"/>
      <c r="F27" s="119"/>
      <c r="G27" s="119"/>
      <c r="H27" s="119"/>
      <c r="I27" s="119"/>
      <c r="J27" s="119"/>
      <c r="K27" s="119"/>
      <c r="L27" s="120"/>
      <c r="M27" s="139">
        <f t="shared" si="2"/>
        <v>0</v>
      </c>
      <c r="N27" s="116"/>
    </row>
    <row r="28" spans="1:14" ht="15.75">
      <c r="A28" s="116" t="s">
        <v>77</v>
      </c>
      <c r="B28" s="119"/>
      <c r="C28" s="120">
        <v>1040</v>
      </c>
      <c r="D28" s="119"/>
      <c r="E28" s="120"/>
      <c r="F28" s="119"/>
      <c r="G28" s="119"/>
      <c r="H28" s="119"/>
      <c r="I28" s="119"/>
      <c r="J28" s="119"/>
      <c r="K28" s="119"/>
      <c r="L28" s="120"/>
      <c r="M28" s="139">
        <f t="shared" si="2"/>
        <v>1040</v>
      </c>
      <c r="N28" s="116"/>
    </row>
    <row r="29" spans="1:14" ht="15.75">
      <c r="A29" s="116" t="s">
        <v>42</v>
      </c>
      <c r="B29" s="119"/>
      <c r="C29" s="120"/>
      <c r="D29" s="119"/>
      <c r="E29" s="120"/>
      <c r="F29" s="119"/>
      <c r="G29" s="119"/>
      <c r="H29" s="119"/>
      <c r="I29" s="119"/>
      <c r="J29" s="119"/>
      <c r="K29" s="119"/>
      <c r="L29" s="120"/>
      <c r="M29" s="139">
        <f t="shared" si="2"/>
        <v>0</v>
      </c>
      <c r="N29" s="116"/>
    </row>
    <row r="30" spans="1:14" ht="15.75">
      <c r="A30" s="116" t="s">
        <v>43</v>
      </c>
      <c r="B30" s="119"/>
      <c r="C30" s="120">
        <v>105</v>
      </c>
      <c r="D30" s="119">
        <v>105</v>
      </c>
      <c r="E30" s="120"/>
      <c r="F30" s="119"/>
      <c r="G30" s="119"/>
      <c r="H30" s="119"/>
      <c r="I30" s="119"/>
      <c r="J30" s="119"/>
      <c r="K30" s="119"/>
      <c r="L30" s="120"/>
      <c r="M30" s="139">
        <f t="shared" si="2"/>
        <v>210</v>
      </c>
      <c r="N30" s="116"/>
    </row>
    <row r="31" spans="1:14" ht="15.75">
      <c r="A31" s="116" t="s">
        <v>78</v>
      </c>
      <c r="B31" s="119"/>
      <c r="C31" s="120"/>
      <c r="D31" s="119"/>
      <c r="E31" s="120"/>
      <c r="F31" s="119"/>
      <c r="G31" s="119"/>
      <c r="H31" s="119"/>
      <c r="I31" s="119"/>
      <c r="J31" s="119"/>
      <c r="K31" s="119"/>
      <c r="L31" s="120"/>
      <c r="M31" s="139">
        <f t="shared" si="2"/>
        <v>0</v>
      </c>
      <c r="N31" s="116"/>
    </row>
    <row r="32" spans="1:14" ht="15.75">
      <c r="A32" s="116" t="s">
        <v>79</v>
      </c>
      <c r="B32" s="119"/>
      <c r="C32" s="120"/>
      <c r="D32" s="119"/>
      <c r="E32" s="120"/>
      <c r="F32" s="119"/>
      <c r="G32" s="119"/>
      <c r="H32" s="119"/>
      <c r="I32" s="119"/>
      <c r="J32" s="119"/>
      <c r="K32" s="119"/>
      <c r="L32" s="120"/>
      <c r="M32" s="139">
        <f t="shared" si="2"/>
        <v>0</v>
      </c>
      <c r="N32" s="116"/>
    </row>
    <row r="33" spans="1:14" ht="15.75">
      <c r="A33" s="116" t="s">
        <v>161</v>
      </c>
      <c r="B33" s="119"/>
      <c r="C33" s="120">
        <v>315</v>
      </c>
      <c r="D33" s="119">
        <v>315</v>
      </c>
      <c r="E33" s="120"/>
      <c r="F33" s="119"/>
      <c r="G33" s="119"/>
      <c r="H33" s="119"/>
      <c r="I33" s="119"/>
      <c r="J33" s="119"/>
      <c r="K33" s="119"/>
      <c r="L33" s="120">
        <v>133</v>
      </c>
      <c r="M33" s="139">
        <f t="shared" si="2"/>
        <v>763</v>
      </c>
      <c r="N33" s="116"/>
    </row>
    <row r="34" spans="1:14" ht="15.75">
      <c r="A34" s="116" t="s">
        <v>81</v>
      </c>
      <c r="B34" s="119"/>
      <c r="C34" s="120"/>
      <c r="D34" s="119"/>
      <c r="E34" s="120"/>
      <c r="F34" s="119"/>
      <c r="G34" s="119"/>
      <c r="H34" s="119"/>
      <c r="I34" s="119"/>
      <c r="J34" s="119"/>
      <c r="K34" s="119"/>
      <c r="L34" s="120"/>
      <c r="M34" s="139">
        <f t="shared" si="2"/>
        <v>0</v>
      </c>
      <c r="N34" s="116"/>
    </row>
    <row r="35" spans="1:15" ht="15.75">
      <c r="A35" s="140" t="s">
        <v>193</v>
      </c>
      <c r="B35" s="119">
        <v>1200</v>
      </c>
      <c r="C35" s="120">
        <v>3600</v>
      </c>
      <c r="D35" s="120"/>
      <c r="E35" s="120"/>
      <c r="F35" s="120">
        <f>3720-930</f>
        <v>2790</v>
      </c>
      <c r="G35" s="120">
        <v>740</v>
      </c>
      <c r="H35" s="120"/>
      <c r="I35" s="120"/>
      <c r="J35" s="120"/>
      <c r="K35" s="120"/>
      <c r="L35" s="120">
        <v>334</v>
      </c>
      <c r="M35" s="139">
        <f t="shared" si="2"/>
        <v>8664</v>
      </c>
      <c r="N35" s="116"/>
      <c r="O35" s="164"/>
    </row>
    <row r="36" spans="1:15" ht="15.75">
      <c r="A36" s="116" t="s">
        <v>185</v>
      </c>
      <c r="B36" s="119">
        <v>247</v>
      </c>
      <c r="C36" s="120"/>
      <c r="D36" s="120"/>
      <c r="E36" s="120"/>
      <c r="F36" s="120">
        <v>441</v>
      </c>
      <c r="G36" s="120">
        <f>1398+78+240</f>
        <v>1716</v>
      </c>
      <c r="H36" s="120"/>
      <c r="I36" s="120"/>
      <c r="J36" s="120"/>
      <c r="K36" s="120"/>
      <c r="L36" s="120">
        <v>945</v>
      </c>
      <c r="M36" s="139">
        <f t="shared" si="2"/>
        <v>3349</v>
      </c>
      <c r="N36" s="116"/>
      <c r="O36" s="162"/>
    </row>
    <row r="37" spans="1:14" ht="15.75">
      <c r="A37" s="116" t="s">
        <v>251</v>
      </c>
      <c r="B37" s="119"/>
      <c r="C37" s="119">
        <v>322</v>
      </c>
      <c r="D37" s="119"/>
      <c r="E37" s="119"/>
      <c r="F37" s="119"/>
      <c r="G37" s="119"/>
      <c r="H37" s="119"/>
      <c r="I37" s="119"/>
      <c r="J37" s="119"/>
      <c r="K37" s="119"/>
      <c r="L37" s="120"/>
      <c r="M37" s="139">
        <f t="shared" si="2"/>
        <v>322</v>
      </c>
      <c r="N37" s="116"/>
    </row>
    <row r="38" spans="1:14" ht="15.75">
      <c r="A38" s="116" t="s">
        <v>74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20"/>
      <c r="M38" s="139">
        <f t="shared" si="2"/>
        <v>0</v>
      </c>
      <c r="N38" s="116"/>
    </row>
    <row r="39" spans="1:14" ht="15.75">
      <c r="A39" s="116" t="s">
        <v>223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20"/>
      <c r="M39" s="139">
        <f t="shared" si="2"/>
        <v>0</v>
      </c>
      <c r="N39" s="116"/>
    </row>
    <row r="40" spans="1:14" ht="15.75">
      <c r="A40" s="116" t="s">
        <v>205</v>
      </c>
      <c r="B40" s="119"/>
      <c r="C40" s="119">
        <v>48</v>
      </c>
      <c r="D40" s="119"/>
      <c r="E40" s="119"/>
      <c r="F40" s="119"/>
      <c r="G40" s="119"/>
      <c r="H40" s="119"/>
      <c r="I40" s="119"/>
      <c r="J40" s="119"/>
      <c r="K40" s="119"/>
      <c r="L40" s="120"/>
      <c r="M40" s="139">
        <f t="shared" si="2"/>
        <v>48</v>
      </c>
      <c r="N40" s="116"/>
    </row>
    <row r="41" spans="1:14" ht="15.75">
      <c r="A41" s="116" t="s">
        <v>45</v>
      </c>
      <c r="B41" s="119"/>
      <c r="C41" s="120">
        <v>930</v>
      </c>
      <c r="D41" s="119"/>
      <c r="E41" s="120"/>
      <c r="F41" s="119">
        <v>147</v>
      </c>
      <c r="G41" s="119">
        <f>117+1</f>
        <v>118</v>
      </c>
      <c r="H41" s="119"/>
      <c r="I41" s="119"/>
      <c r="J41" s="119"/>
      <c r="K41" s="119"/>
      <c r="L41" s="120"/>
      <c r="M41" s="139">
        <f t="shared" si="2"/>
        <v>1195</v>
      </c>
      <c r="N41" s="116"/>
    </row>
    <row r="42" spans="1:14" ht="15.75">
      <c r="A42" s="116" t="s">
        <v>82</v>
      </c>
      <c r="B42" s="119"/>
      <c r="C42" s="120">
        <v>1594</v>
      </c>
      <c r="D42" s="119">
        <f>1503+25</f>
        <v>1528</v>
      </c>
      <c r="E42" s="120">
        <f>85+756</f>
        <v>841</v>
      </c>
      <c r="F42" s="119"/>
      <c r="G42" s="119"/>
      <c r="H42" s="119"/>
      <c r="I42" s="119"/>
      <c r="J42" s="119"/>
      <c r="K42" s="119"/>
      <c r="L42" s="120">
        <f>542+-17</f>
        <v>525</v>
      </c>
      <c r="M42" s="139">
        <f t="shared" si="2"/>
        <v>4488</v>
      </c>
      <c r="N42" s="116"/>
    </row>
    <row r="43" spans="1:14" ht="15.75">
      <c r="A43" s="116" t="s">
        <v>222</v>
      </c>
      <c r="B43" s="119"/>
      <c r="C43" s="120"/>
      <c r="D43" s="119"/>
      <c r="E43" s="120"/>
      <c r="F43" s="119"/>
      <c r="G43" s="119"/>
      <c r="H43" s="119"/>
      <c r="I43" s="119"/>
      <c r="J43" s="119"/>
      <c r="K43" s="119"/>
      <c r="L43" s="120"/>
      <c r="M43" s="139">
        <f t="shared" si="2"/>
        <v>0</v>
      </c>
      <c r="N43" s="116"/>
    </row>
    <row r="44" spans="1:14" s="54" customFormat="1" ht="15.75">
      <c r="A44" s="116" t="s">
        <v>186</v>
      </c>
      <c r="B44" s="119"/>
      <c r="C44" s="120">
        <v>616</v>
      </c>
      <c r="D44" s="120">
        <f>518+100</f>
        <v>618</v>
      </c>
      <c r="E44" s="120"/>
      <c r="F44" s="120"/>
      <c r="G44" s="120"/>
      <c r="H44" s="120"/>
      <c r="I44" s="120"/>
      <c r="J44" s="120"/>
      <c r="K44" s="120"/>
      <c r="L44" s="120">
        <f>549+49</f>
        <v>598</v>
      </c>
      <c r="M44" s="139">
        <f t="shared" si="2"/>
        <v>1832</v>
      </c>
      <c r="N44" s="116"/>
    </row>
    <row r="45" spans="1:14" s="54" customFormat="1" ht="15.75">
      <c r="A45" s="116" t="s">
        <v>83</v>
      </c>
      <c r="B45" s="119">
        <v>178</v>
      </c>
      <c r="C45" s="120">
        <v>1498</v>
      </c>
      <c r="D45" s="120">
        <v>1345</v>
      </c>
      <c r="E45" s="120"/>
      <c r="F45" s="120">
        <v>515</v>
      </c>
      <c r="G45" s="120"/>
      <c r="H45" s="120"/>
      <c r="I45" s="120"/>
      <c r="J45" s="120"/>
      <c r="K45" s="120"/>
      <c r="L45" s="120">
        <v>395</v>
      </c>
      <c r="M45" s="139">
        <f t="shared" si="2"/>
        <v>3931</v>
      </c>
      <c r="N45" s="116"/>
    </row>
    <row r="46" spans="1:14" s="54" customFormat="1" ht="15.75">
      <c r="A46" s="116" t="s">
        <v>47</v>
      </c>
      <c r="B46" s="119"/>
      <c r="C46" s="120">
        <v>30</v>
      </c>
      <c r="D46" s="120"/>
      <c r="E46" s="120"/>
      <c r="F46" s="120">
        <v>74</v>
      </c>
      <c r="G46" s="120"/>
      <c r="H46" s="120"/>
      <c r="I46" s="120"/>
      <c r="J46" s="120"/>
      <c r="K46" s="120"/>
      <c r="L46" s="120">
        <v>235</v>
      </c>
      <c r="M46" s="139">
        <f t="shared" si="2"/>
        <v>339</v>
      </c>
      <c r="N46" s="116"/>
    </row>
    <row r="47" spans="1:15" s="54" customFormat="1" ht="15.75">
      <c r="A47" s="116" t="s">
        <v>27</v>
      </c>
      <c r="B47" s="119"/>
      <c r="C47" s="120">
        <f>3583+63</f>
        <v>3646</v>
      </c>
      <c r="D47" s="119">
        <f>3583+87+1</f>
        <v>3671</v>
      </c>
      <c r="E47" s="120"/>
      <c r="F47" s="119">
        <f>338+78+1</f>
        <v>417</v>
      </c>
      <c r="G47" s="119">
        <v>338</v>
      </c>
      <c r="H47" s="119"/>
      <c r="I47" s="119">
        <v>0</v>
      </c>
      <c r="J47" s="119"/>
      <c r="K47" s="119"/>
      <c r="L47" s="119">
        <v>0</v>
      </c>
      <c r="M47" s="139">
        <f t="shared" si="2"/>
        <v>8072</v>
      </c>
      <c r="N47" s="116"/>
      <c r="O47" s="165"/>
    </row>
    <row r="48" spans="1:14" s="54" customFormat="1" ht="15.75">
      <c r="A48" s="116" t="s">
        <v>208</v>
      </c>
      <c r="B48" s="119"/>
      <c r="C48" s="120">
        <f>1261/2</f>
        <v>630.5</v>
      </c>
      <c r="D48" s="119">
        <v>631</v>
      </c>
      <c r="E48" s="120"/>
      <c r="F48" s="119"/>
      <c r="G48" s="119"/>
      <c r="H48" s="119"/>
      <c r="I48" s="119"/>
      <c r="J48" s="119"/>
      <c r="K48" s="119"/>
      <c r="L48" s="120"/>
      <c r="M48" s="139">
        <f t="shared" si="2"/>
        <v>1261.5</v>
      </c>
      <c r="N48" s="116"/>
    </row>
    <row r="49" spans="1:14" ht="15.75">
      <c r="A49" s="116" t="s">
        <v>201</v>
      </c>
      <c r="B49" s="119"/>
      <c r="C49" s="120">
        <v>41</v>
      </c>
      <c r="D49" s="120"/>
      <c r="E49" s="120"/>
      <c r="F49" s="120"/>
      <c r="G49" s="120"/>
      <c r="H49" s="120"/>
      <c r="I49" s="120"/>
      <c r="J49" s="120"/>
      <c r="K49" s="120"/>
      <c r="L49" s="120">
        <v>253</v>
      </c>
      <c r="M49" s="139">
        <f>SUM(B49:L49)</f>
        <v>294</v>
      </c>
      <c r="N49" s="116"/>
    </row>
    <row r="50" spans="1:14" ht="15.75">
      <c r="A50" s="116" t="s">
        <v>216</v>
      </c>
      <c r="B50" s="119"/>
      <c r="C50" s="120"/>
      <c r="D50" s="120"/>
      <c r="E50" s="120"/>
      <c r="F50" s="120"/>
      <c r="G50" s="120"/>
      <c r="H50" s="120"/>
      <c r="I50" s="120"/>
      <c r="J50" s="120"/>
      <c r="K50" s="120"/>
      <c r="L50" s="120">
        <v>342</v>
      </c>
      <c r="M50" s="139">
        <f t="shared" si="2"/>
        <v>342</v>
      </c>
      <c r="N50" s="116"/>
    </row>
    <row r="51" spans="1:14" ht="15.75">
      <c r="A51" s="116" t="s">
        <v>195</v>
      </c>
      <c r="B51" s="119"/>
      <c r="C51" s="120"/>
      <c r="D51" s="120"/>
      <c r="E51" s="120"/>
      <c r="F51" s="120"/>
      <c r="G51" s="120"/>
      <c r="H51" s="120">
        <v>700</v>
      </c>
      <c r="I51" s="120"/>
      <c r="J51" s="120"/>
      <c r="K51" s="120"/>
      <c r="L51" s="120"/>
      <c r="M51" s="139">
        <f t="shared" si="2"/>
        <v>700</v>
      </c>
      <c r="N51" s="116"/>
    </row>
    <row r="52" spans="1:14" ht="15.75">
      <c r="A52" s="116" t="s">
        <v>253</v>
      </c>
      <c r="B52" s="119"/>
      <c r="C52" s="120">
        <v>1356</v>
      </c>
      <c r="D52" s="120">
        <v>393</v>
      </c>
      <c r="E52" s="120"/>
      <c r="F52" s="120"/>
      <c r="G52" s="120"/>
      <c r="H52" s="120"/>
      <c r="I52" s="120"/>
      <c r="J52" s="120"/>
      <c r="K52" s="120"/>
      <c r="L52" s="120">
        <v>19</v>
      </c>
      <c r="M52" s="139">
        <f t="shared" si="2"/>
        <v>1768</v>
      </c>
      <c r="N52" s="116"/>
    </row>
    <row r="53" spans="1:14" ht="15.75">
      <c r="A53" s="116" t="s">
        <v>215</v>
      </c>
      <c r="B53" s="119"/>
      <c r="C53" s="120">
        <v>461</v>
      </c>
      <c r="D53" s="120">
        <v>240</v>
      </c>
      <c r="E53" s="120"/>
      <c r="F53" s="120"/>
      <c r="G53" s="120"/>
      <c r="H53" s="120"/>
      <c r="I53" s="120"/>
      <c r="J53" s="120"/>
      <c r="K53" s="120"/>
      <c r="L53" s="120">
        <v>461</v>
      </c>
      <c r="M53" s="139">
        <f t="shared" si="2"/>
        <v>1162</v>
      </c>
      <c r="N53" s="116"/>
    </row>
    <row r="54" spans="1:15" ht="15.75">
      <c r="A54" s="116" t="s">
        <v>255</v>
      </c>
      <c r="B54" s="119"/>
      <c r="C54" s="120"/>
      <c r="D54" s="120"/>
      <c r="E54" s="120"/>
      <c r="F54" s="120"/>
      <c r="G54" s="120"/>
      <c r="H54" s="120">
        <v>2530</v>
      </c>
      <c r="I54" s="120"/>
      <c r="J54" s="120">
        <v>11047</v>
      </c>
      <c r="K54" s="120">
        <v>1014</v>
      </c>
      <c r="L54" s="120"/>
      <c r="M54" s="139">
        <f t="shared" si="2"/>
        <v>14591</v>
      </c>
      <c r="N54" s="116"/>
      <c r="O54" s="166"/>
    </row>
    <row r="55" spans="1:14" ht="15.75">
      <c r="A55" s="116" t="s">
        <v>252</v>
      </c>
      <c r="B55" s="119"/>
      <c r="C55" s="120">
        <v>163</v>
      </c>
      <c r="D55" s="120">
        <v>29</v>
      </c>
      <c r="E55" s="120"/>
      <c r="F55" s="120"/>
      <c r="G55" s="120"/>
      <c r="H55" s="120"/>
      <c r="I55" s="120"/>
      <c r="J55" s="120"/>
      <c r="K55" s="120"/>
      <c r="L55" s="120"/>
      <c r="M55" s="139">
        <f t="shared" si="2"/>
        <v>192</v>
      </c>
      <c r="N55" s="116"/>
    </row>
    <row r="56" spans="1:16" ht="15.75">
      <c r="A56" s="116" t="s">
        <v>194</v>
      </c>
      <c r="B56" s="119"/>
      <c r="C56" s="120"/>
      <c r="D56" s="120"/>
      <c r="E56" s="120"/>
      <c r="F56" s="120"/>
      <c r="G56" s="120"/>
      <c r="H56" s="120"/>
      <c r="I56" s="120"/>
      <c r="J56" s="120"/>
      <c r="K56" s="120"/>
      <c r="L56" s="120">
        <v>136</v>
      </c>
      <c r="M56" s="139">
        <f t="shared" si="2"/>
        <v>136</v>
      </c>
      <c r="N56" s="116"/>
      <c r="O56" s="165"/>
      <c r="P56" s="162"/>
    </row>
    <row r="57" spans="1:16" ht="15.75">
      <c r="A57" s="116" t="s">
        <v>300</v>
      </c>
      <c r="B57" s="119"/>
      <c r="C57" s="120"/>
      <c r="D57" s="120">
        <v>23</v>
      </c>
      <c r="E57" s="120"/>
      <c r="F57" s="120"/>
      <c r="G57" s="120">
        <f>60</f>
        <v>60</v>
      </c>
      <c r="H57" s="120"/>
      <c r="I57" s="120"/>
      <c r="J57" s="120"/>
      <c r="K57" s="120">
        <v>1302</v>
      </c>
      <c r="L57" s="120">
        <v>500</v>
      </c>
      <c r="M57" s="139">
        <f t="shared" si="2"/>
        <v>1885</v>
      </c>
      <c r="N57" s="116"/>
      <c r="O57" s="165"/>
      <c r="P57" s="162"/>
    </row>
    <row r="58" spans="1:14" ht="15.75">
      <c r="A58" s="116" t="s">
        <v>256</v>
      </c>
      <c r="B58" s="119">
        <v>88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>
        <v>-200</v>
      </c>
      <c r="M58" s="139">
        <f t="shared" si="2"/>
        <v>-112</v>
      </c>
      <c r="N58" s="116"/>
    </row>
    <row r="59" spans="1:15" ht="13.5" customHeight="1">
      <c r="A59" s="116" t="s">
        <v>177</v>
      </c>
      <c r="B59" s="119">
        <v>28</v>
      </c>
      <c r="C59" s="120">
        <f>255+23</f>
        <v>278</v>
      </c>
      <c r="D59" s="120">
        <f>696+5+60+38</f>
        <v>799</v>
      </c>
      <c r="E59" s="120"/>
      <c r="F59" s="120">
        <v>352</v>
      </c>
      <c r="G59" s="120">
        <f>495+28+1</f>
        <v>524</v>
      </c>
      <c r="H59" s="120"/>
      <c r="I59" s="120"/>
      <c r="J59" s="120"/>
      <c r="K59" s="120"/>
      <c r="L59" s="116">
        <v>608</v>
      </c>
      <c r="M59" s="139">
        <f t="shared" si="2"/>
        <v>2589</v>
      </c>
      <c r="N59" s="116"/>
      <c r="O59" s="167"/>
    </row>
    <row r="60" spans="1:14" ht="13.5" customHeight="1">
      <c r="A60" s="116" t="s">
        <v>49</v>
      </c>
      <c r="B60" s="119"/>
      <c r="C60" s="120">
        <v>304</v>
      </c>
      <c r="D60" s="119">
        <v>179</v>
      </c>
      <c r="E60" s="120"/>
      <c r="F60" s="119"/>
      <c r="G60" s="119"/>
      <c r="H60" s="119"/>
      <c r="I60" s="119"/>
      <c r="J60" s="119"/>
      <c r="K60" s="119"/>
      <c r="L60" s="120"/>
      <c r="M60" s="139">
        <f t="shared" si="2"/>
        <v>483</v>
      </c>
      <c r="N60" s="116"/>
    </row>
    <row r="61" spans="1:14" ht="15.75">
      <c r="A61" s="116" t="s">
        <v>234</v>
      </c>
      <c r="B61" s="119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39">
        <f t="shared" si="2"/>
        <v>0</v>
      </c>
      <c r="N61" s="116"/>
    </row>
    <row r="62" spans="1:15" ht="15.75">
      <c r="A62" s="116" t="s">
        <v>178</v>
      </c>
      <c r="B62" s="119"/>
      <c r="C62" s="120">
        <f>31+3082</f>
        <v>3113</v>
      </c>
      <c r="D62" s="119">
        <f>31+3082</f>
        <v>3113</v>
      </c>
      <c r="E62" s="120"/>
      <c r="F62" s="119"/>
      <c r="G62" s="119"/>
      <c r="H62" s="119"/>
      <c r="I62" s="119"/>
      <c r="J62" s="119"/>
      <c r="K62" s="119"/>
      <c r="L62" s="119">
        <f>2325+1409+80+1</f>
        <v>3815</v>
      </c>
      <c r="M62" s="139">
        <f t="shared" si="2"/>
        <v>10041</v>
      </c>
      <c r="N62" s="116"/>
      <c r="O62" s="165"/>
    </row>
    <row r="63" spans="1:15" ht="15.75">
      <c r="A63" s="116" t="s">
        <v>85</v>
      </c>
      <c r="B63" s="119"/>
      <c r="C63" s="120">
        <v>1250</v>
      </c>
      <c r="D63" s="119">
        <v>1250</v>
      </c>
      <c r="E63" s="120"/>
      <c r="F63" s="119"/>
      <c r="G63" s="119"/>
      <c r="H63" s="119"/>
      <c r="I63" s="119"/>
      <c r="J63" s="119"/>
      <c r="K63" s="119"/>
      <c r="L63" s="119"/>
      <c r="M63" s="139">
        <f t="shared" si="2"/>
        <v>2500</v>
      </c>
      <c r="N63" s="116"/>
      <c r="O63" s="167"/>
    </row>
    <row r="64" spans="1:15" ht="15.75">
      <c r="A64" s="116" t="s">
        <v>51</v>
      </c>
      <c r="B64" s="119"/>
      <c r="C64" s="120"/>
      <c r="D64" s="119"/>
      <c r="E64" s="120"/>
      <c r="F64" s="119">
        <v>26</v>
      </c>
      <c r="G64" s="119">
        <v>22</v>
      </c>
      <c r="H64" s="119"/>
      <c r="I64" s="119"/>
      <c r="J64" s="119"/>
      <c r="K64" s="119"/>
      <c r="L64" s="120">
        <v>4319</v>
      </c>
      <c r="M64" s="139">
        <f t="shared" si="2"/>
        <v>4367</v>
      </c>
      <c r="N64" s="116"/>
      <c r="O64" s="162"/>
    </row>
    <row r="65" spans="1:14" ht="15" customHeight="1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39"/>
      <c r="N65" s="116"/>
    </row>
    <row r="66" spans="1:14" ht="19.5" customHeight="1">
      <c r="A66" s="116" t="s">
        <v>1</v>
      </c>
      <c r="B66" s="136">
        <f>SUM(B25:B65)</f>
        <v>1741</v>
      </c>
      <c r="C66" s="136">
        <f aca="true" t="shared" si="3" ref="C66:M66">SUM(C25:C65)</f>
        <v>117020.5</v>
      </c>
      <c r="D66" s="136">
        <f t="shared" si="3"/>
        <v>68336</v>
      </c>
      <c r="E66" s="136">
        <f t="shared" si="3"/>
        <v>841</v>
      </c>
      <c r="F66" s="136">
        <f t="shared" si="3"/>
        <v>4762</v>
      </c>
      <c r="G66" s="136">
        <f t="shared" si="3"/>
        <v>3518</v>
      </c>
      <c r="H66" s="136">
        <f t="shared" si="3"/>
        <v>3230</v>
      </c>
      <c r="I66" s="136">
        <f t="shared" si="3"/>
        <v>0</v>
      </c>
      <c r="J66" s="136">
        <f t="shared" si="3"/>
        <v>11047</v>
      </c>
      <c r="K66" s="136">
        <f t="shared" si="3"/>
        <v>2316</v>
      </c>
      <c r="L66" s="136">
        <f t="shared" si="3"/>
        <v>34518</v>
      </c>
      <c r="M66" s="136">
        <f t="shared" si="3"/>
        <v>247329.5</v>
      </c>
      <c r="N66" s="116"/>
    </row>
    <row r="67" spans="1:14" ht="21.75" customHeight="1" thickBot="1">
      <c r="A67" s="116" t="s">
        <v>180</v>
      </c>
      <c r="B67" s="141">
        <f aca="true" t="shared" si="4" ref="B67:M67">B22-B66</f>
        <v>-1741</v>
      </c>
      <c r="C67" s="141">
        <f t="shared" si="4"/>
        <v>-1858.5</v>
      </c>
      <c r="D67" s="141">
        <f t="shared" si="4"/>
        <v>-3736</v>
      </c>
      <c r="E67" s="141">
        <f t="shared" si="4"/>
        <v>-841</v>
      </c>
      <c r="F67" s="141">
        <f t="shared" si="4"/>
        <v>-2292</v>
      </c>
      <c r="G67" s="141">
        <f t="shared" si="4"/>
        <v>-3518</v>
      </c>
      <c r="H67" s="141">
        <f t="shared" si="4"/>
        <v>-3230</v>
      </c>
      <c r="I67" s="141">
        <f t="shared" si="4"/>
        <v>10000</v>
      </c>
      <c r="J67" s="141">
        <f t="shared" si="4"/>
        <v>-1047</v>
      </c>
      <c r="K67" s="141">
        <f t="shared" si="4"/>
        <v>234</v>
      </c>
      <c r="L67" s="141">
        <f t="shared" si="4"/>
        <v>-120</v>
      </c>
      <c r="M67" s="141">
        <f t="shared" si="4"/>
        <v>-8149.5</v>
      </c>
      <c r="N67" s="120"/>
    </row>
    <row r="68" spans="1:14" ht="16.5" thickTop="1">
      <c r="A68" s="177"/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16"/>
    </row>
    <row r="69" spans="1:14" ht="15.7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</row>
    <row r="70" spans="1:14" ht="15.75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</row>
    <row r="71" spans="1:14" ht="15.75">
      <c r="A71" s="116"/>
      <c r="B71" s="142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42"/>
      <c r="N71" s="116"/>
    </row>
    <row r="72" spans="1:14" ht="15.75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</row>
    <row r="73" spans="1:14" ht="15.75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</row>
    <row r="74" spans="1:14" ht="15.7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</row>
    <row r="75" spans="1:14" ht="15.75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</row>
    <row r="76" spans="1:14" ht="15.75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16"/>
      <c r="N76" s="138"/>
    </row>
    <row r="77" spans="1:14" ht="15.75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16"/>
      <c r="N77" s="138"/>
    </row>
    <row r="78" spans="1:14" ht="15.75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16"/>
      <c r="N78" s="138"/>
    </row>
    <row r="79" spans="1:14" ht="15.75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16"/>
      <c r="N79" s="138"/>
    </row>
  </sheetData>
  <sheetProtection/>
  <mergeCells count="3">
    <mergeCell ref="A68:M68"/>
    <mergeCell ref="A6:M6"/>
    <mergeCell ref="A7:M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7:J50"/>
  <sheetViews>
    <sheetView workbookViewId="0" topLeftCell="A9">
      <selection activeCell="H48" sqref="H48"/>
    </sheetView>
  </sheetViews>
  <sheetFormatPr defaultColWidth="9.140625" defaultRowHeight="12.75"/>
  <cols>
    <col min="1" max="1" width="9.140625" style="2" customWidth="1"/>
    <col min="2" max="2" width="28.140625" style="2" bestFit="1" customWidth="1"/>
    <col min="3" max="3" width="6.421875" style="2" customWidth="1"/>
    <col min="4" max="5" width="12.28125" style="2" customWidth="1"/>
    <col min="6" max="6" width="2.421875" style="2" customWidth="1"/>
    <col min="7" max="8" width="12.28125" style="2" customWidth="1"/>
    <col min="9" max="16384" width="9.140625" style="2" customWidth="1"/>
  </cols>
  <sheetData>
    <row r="2" ht="12.75"/>
    <row r="3" ht="12.75"/>
    <row r="4" ht="12.75"/>
    <row r="5" ht="12.75"/>
    <row r="6" ht="12.75"/>
    <row r="7" spans="2:8" ht="18" customHeight="1">
      <c r="B7" s="175" t="s">
        <v>190</v>
      </c>
      <c r="C7" s="175"/>
      <c r="D7" s="175"/>
      <c r="E7" s="175"/>
      <c r="F7" s="175"/>
      <c r="G7" s="175"/>
      <c r="H7" s="175"/>
    </row>
    <row r="8" spans="2:8" ht="15.75">
      <c r="B8" s="175" t="s">
        <v>287</v>
      </c>
      <c r="C8" s="175"/>
      <c r="D8" s="175"/>
      <c r="E8" s="175"/>
      <c r="F8" s="175"/>
      <c r="G8" s="175"/>
      <c r="H8" s="175"/>
    </row>
    <row r="9" spans="3:8" ht="12.75">
      <c r="C9" s="143"/>
      <c r="D9" s="143"/>
      <c r="E9" s="143"/>
      <c r="F9" s="143"/>
      <c r="G9" s="143"/>
      <c r="H9" s="143"/>
    </row>
    <row r="10" ht="11.25" customHeight="1"/>
    <row r="11" spans="4:8" ht="12.75">
      <c r="D11" s="178" t="s">
        <v>17</v>
      </c>
      <c r="E11" s="178"/>
      <c r="F11" s="144"/>
      <c r="G11" s="178" t="s">
        <v>17</v>
      </c>
      <c r="H11" s="178"/>
    </row>
    <row r="12" spans="4:8" ht="12.75">
      <c r="D12" s="179">
        <v>44012</v>
      </c>
      <c r="E12" s="178"/>
      <c r="F12" s="144"/>
      <c r="G12" s="179">
        <v>43830</v>
      </c>
      <c r="H12" s="178"/>
    </row>
    <row r="13" spans="4:8" ht="12.75">
      <c r="D13" s="145" t="s">
        <v>7</v>
      </c>
      <c r="E13" s="145" t="s">
        <v>7</v>
      </c>
      <c r="F13" s="144"/>
      <c r="G13" s="145" t="s">
        <v>7</v>
      </c>
      <c r="H13" s="145" t="s">
        <v>7</v>
      </c>
    </row>
    <row r="15" spans="2:5" ht="12.75">
      <c r="B15" s="7" t="s">
        <v>12</v>
      </c>
      <c r="C15" s="7" t="s">
        <v>18</v>
      </c>
      <c r="D15" s="54"/>
      <c r="E15" s="54"/>
    </row>
    <row r="16" spans="2:8" ht="12.75">
      <c r="B16" s="2" t="s">
        <v>20</v>
      </c>
      <c r="C16" s="3">
        <v>1</v>
      </c>
      <c r="D16" s="54"/>
      <c r="E16" s="14">
        <f>'Accounts Details '!H18</f>
        <v>354607</v>
      </c>
      <c r="G16" s="54"/>
      <c r="H16" s="14">
        <v>359055</v>
      </c>
    </row>
    <row r="17" spans="4:8" ht="12.75">
      <c r="D17" s="54"/>
      <c r="E17" s="55"/>
      <c r="G17" s="54"/>
      <c r="H17" s="55"/>
    </row>
    <row r="18" spans="2:8" ht="12.75">
      <c r="B18" s="7" t="s">
        <v>13</v>
      </c>
      <c r="D18" s="55"/>
      <c r="E18" s="55"/>
      <c r="G18" s="55"/>
      <c r="H18" s="55"/>
    </row>
    <row r="19" spans="2:8" ht="12.75">
      <c r="B19" s="2" t="s">
        <v>76</v>
      </c>
      <c r="C19" s="3">
        <v>2</v>
      </c>
      <c r="D19" s="23">
        <f>'Accounts Details '!H37</f>
        <v>27559.7</v>
      </c>
      <c r="E19" s="55"/>
      <c r="G19" s="55">
        <v>4814</v>
      </c>
      <c r="H19" s="55"/>
    </row>
    <row r="20" spans="2:8" ht="12.75">
      <c r="B20" s="2" t="s">
        <v>21</v>
      </c>
      <c r="C20" s="3">
        <v>3</v>
      </c>
      <c r="D20" s="81">
        <f>'Accounts Details '!H52</f>
        <v>54109</v>
      </c>
      <c r="E20" s="55"/>
      <c r="G20" s="81">
        <v>77537</v>
      </c>
      <c r="H20" s="55"/>
    </row>
    <row r="21" spans="3:8" ht="12.75">
      <c r="C21" s="3"/>
      <c r="D21" s="93">
        <f>D19+D20</f>
        <v>81668.7</v>
      </c>
      <c r="E21" s="55"/>
      <c r="G21" s="93">
        <f>SUM(G19:G20)</f>
        <v>82351</v>
      </c>
      <c r="H21" s="55"/>
    </row>
    <row r="22" spans="3:8" ht="12.75">
      <c r="C22" s="3"/>
      <c r="D22" s="55"/>
      <c r="E22" s="55"/>
      <c r="G22" s="55"/>
      <c r="H22" s="55"/>
    </row>
    <row r="23" spans="2:8" ht="12.75">
      <c r="B23" s="7" t="s">
        <v>14</v>
      </c>
      <c r="C23" s="3"/>
      <c r="D23" s="55"/>
      <c r="E23" s="55"/>
      <c r="G23" s="55"/>
      <c r="H23" s="55"/>
    </row>
    <row r="24" spans="2:8" ht="12.75">
      <c r="B24" s="2" t="s">
        <v>159</v>
      </c>
      <c r="C24" s="3">
        <v>4</v>
      </c>
      <c r="D24" s="6">
        <f>'Accounts Details '!H69</f>
        <v>25640</v>
      </c>
      <c r="E24" s="6"/>
      <c r="G24" s="55">
        <f>5424+23880</f>
        <v>29304</v>
      </c>
      <c r="H24" s="55"/>
    </row>
    <row r="25" spans="2:8" ht="12.75" hidden="1">
      <c r="B25" s="2" t="s">
        <v>22</v>
      </c>
      <c r="C25" s="3"/>
      <c r="D25" s="6">
        <v>0</v>
      </c>
      <c r="G25" s="55">
        <v>0</v>
      </c>
      <c r="H25" s="54"/>
    </row>
    <row r="26" spans="2:8" ht="12.75">
      <c r="B26" s="2" t="s">
        <v>202</v>
      </c>
      <c r="C26" s="3"/>
      <c r="D26" s="6">
        <v>7778</v>
      </c>
      <c r="G26" s="55">
        <v>10608</v>
      </c>
      <c r="H26" s="54"/>
    </row>
    <row r="27" spans="2:8" ht="12.75">
      <c r="B27" s="2" t="s">
        <v>221</v>
      </c>
      <c r="C27" s="3"/>
      <c r="D27" s="6">
        <v>9000</v>
      </c>
      <c r="G27" s="55">
        <v>0</v>
      </c>
      <c r="H27" s="54"/>
    </row>
    <row r="28" spans="3:8" ht="12.75">
      <c r="C28" s="3"/>
      <c r="D28" s="20">
        <f>SUM(D24:D27)</f>
        <v>42418</v>
      </c>
      <c r="E28" s="6"/>
      <c r="G28" s="93">
        <f>SUM(G24:G27)</f>
        <v>39912</v>
      </c>
      <c r="H28" s="55"/>
    </row>
    <row r="29" spans="2:8" ht="12.75">
      <c r="B29" s="2" t="s">
        <v>15</v>
      </c>
      <c r="C29" s="3"/>
      <c r="D29" s="6"/>
      <c r="E29" s="6"/>
      <c r="G29" s="55"/>
      <c r="H29" s="55"/>
    </row>
    <row r="30" spans="3:8" ht="12.75">
      <c r="C30" s="3"/>
      <c r="D30" s="6"/>
      <c r="E30" s="6"/>
      <c r="G30" s="55"/>
      <c r="H30" s="55"/>
    </row>
    <row r="31" spans="3:8" ht="12.75">
      <c r="C31" s="3"/>
      <c r="D31" s="6"/>
      <c r="E31" s="6"/>
      <c r="G31" s="55"/>
      <c r="H31" s="55"/>
    </row>
    <row r="32" spans="2:8" ht="12.75">
      <c r="B32" s="21" t="s">
        <v>36</v>
      </c>
      <c r="C32" s="56"/>
      <c r="D32" s="14"/>
      <c r="E32" s="22">
        <f>D21-D28</f>
        <v>39250.7</v>
      </c>
      <c r="G32" s="14"/>
      <c r="H32" s="22">
        <f>G21-G28</f>
        <v>42439</v>
      </c>
    </row>
    <row r="33" spans="2:8" ht="12.75">
      <c r="B33" s="21"/>
      <c r="C33" s="21"/>
      <c r="D33" s="14"/>
      <c r="E33" s="23"/>
      <c r="G33" s="14"/>
      <c r="H33" s="23"/>
    </row>
    <row r="34" spans="2:8" ht="13.5" thickBot="1">
      <c r="B34" s="24"/>
      <c r="C34" s="24"/>
      <c r="D34" s="14"/>
      <c r="E34" s="90">
        <f>E16+E32</f>
        <v>393857.7</v>
      </c>
      <c r="F34" s="7"/>
      <c r="G34" s="94"/>
      <c r="H34" s="90">
        <f>H32+H16</f>
        <v>401494</v>
      </c>
    </row>
    <row r="35" spans="2:8" ht="13.5" thickTop="1">
      <c r="B35" s="21" t="s">
        <v>16</v>
      </c>
      <c r="C35" s="21"/>
      <c r="D35" s="14"/>
      <c r="E35" s="23"/>
      <c r="G35" s="14"/>
      <c r="H35" s="23"/>
    </row>
    <row r="36" spans="2:8" ht="12.75">
      <c r="B36" s="21"/>
      <c r="C36" s="21"/>
      <c r="D36" s="14"/>
      <c r="E36" s="23"/>
      <c r="F36" s="54"/>
      <c r="G36" s="14"/>
      <c r="H36" s="23"/>
    </row>
    <row r="37" spans="2:8" ht="12.75">
      <c r="B37" s="24" t="s">
        <v>231</v>
      </c>
      <c r="C37" s="24"/>
      <c r="D37" s="14"/>
      <c r="E37" s="23">
        <v>-18695</v>
      </c>
      <c r="F37" s="54"/>
      <c r="G37" s="14"/>
      <c r="H37" s="23">
        <v>11281</v>
      </c>
    </row>
    <row r="38" spans="2:8" ht="12.75">
      <c r="B38" s="24" t="s">
        <v>217</v>
      </c>
      <c r="C38" s="24"/>
      <c r="D38" s="14"/>
      <c r="E38" s="23">
        <v>23327</v>
      </c>
      <c r="F38" s="54"/>
      <c r="G38" s="14"/>
      <c r="H38" s="23">
        <v>0</v>
      </c>
    </row>
    <row r="39" spans="2:8" ht="12.75">
      <c r="B39" s="24" t="s">
        <v>187</v>
      </c>
      <c r="C39" s="24"/>
      <c r="D39" s="14"/>
      <c r="E39" s="23">
        <f>'P&amp;L Summary'!C74</f>
        <v>-8149.5</v>
      </c>
      <c r="F39" s="54"/>
      <c r="G39" s="14"/>
      <c r="H39" s="23">
        <v>0</v>
      </c>
    </row>
    <row r="40" spans="2:8" ht="12.75">
      <c r="B40" s="24" t="s">
        <v>198</v>
      </c>
      <c r="C40" s="24"/>
      <c r="D40" s="14"/>
      <c r="E40" s="23">
        <v>175487</v>
      </c>
      <c r="F40" s="54"/>
      <c r="G40" s="14"/>
      <c r="H40" s="23">
        <v>168325</v>
      </c>
    </row>
    <row r="41" spans="2:8" ht="15">
      <c r="B41" s="24" t="s">
        <v>197</v>
      </c>
      <c r="C41" s="24"/>
      <c r="D41" s="14"/>
      <c r="E41" s="91">
        <v>221888</v>
      </c>
      <c r="F41" s="54"/>
      <c r="G41" s="14"/>
      <c r="H41" s="91">
        <v>221888</v>
      </c>
    </row>
    <row r="42" spans="2:8" ht="12.75">
      <c r="B42" s="24"/>
      <c r="C42" s="24"/>
      <c r="D42" s="14"/>
      <c r="E42" s="23"/>
      <c r="F42" s="54"/>
      <c r="G42" s="14"/>
      <c r="H42" s="23"/>
    </row>
    <row r="43" spans="2:10" ht="13.5" thickBot="1">
      <c r="B43" s="25"/>
      <c r="C43" s="24"/>
      <c r="D43" s="55"/>
      <c r="E43" s="90">
        <f>E37+E41+E39+E40+E38</f>
        <v>393857.5</v>
      </c>
      <c r="F43" s="89"/>
      <c r="G43" s="95"/>
      <c r="H43" s="90">
        <f>SUM(H37:H41)</f>
        <v>401494</v>
      </c>
      <c r="J43" s="168"/>
    </row>
    <row r="44" spans="3:8" ht="13.5" thickTop="1">
      <c r="C44" s="54"/>
      <c r="D44" s="54"/>
      <c r="E44" s="55"/>
      <c r="F44" s="54"/>
      <c r="G44" s="55"/>
      <c r="H44" s="55"/>
    </row>
    <row r="45" spans="3:8" ht="12.75">
      <c r="C45" s="54"/>
      <c r="D45" s="54"/>
      <c r="E45" s="104"/>
      <c r="F45" s="54"/>
      <c r="G45" s="54"/>
      <c r="H45" s="54"/>
    </row>
    <row r="46" spans="3:8" ht="12.75">
      <c r="C46" s="54"/>
      <c r="D46" s="104"/>
      <c r="E46" s="104"/>
      <c r="F46" s="54"/>
      <c r="G46" s="54"/>
      <c r="H46" s="54"/>
    </row>
    <row r="47" spans="5:8" ht="12.75">
      <c r="E47" s="54"/>
      <c r="F47" s="54"/>
      <c r="G47" s="54"/>
      <c r="H47" s="54"/>
    </row>
    <row r="48" spans="5:8" ht="12.75">
      <c r="E48" s="54"/>
      <c r="F48" s="54"/>
      <c r="G48" s="54"/>
      <c r="H48" s="54"/>
    </row>
    <row r="49" spans="5:8" ht="12.75">
      <c r="E49" s="54"/>
      <c r="F49" s="54"/>
      <c r="G49" s="54"/>
      <c r="H49" s="54"/>
    </row>
    <row r="50" spans="5:8" ht="12.75">
      <c r="E50" s="54"/>
      <c r="F50" s="54"/>
      <c r="G50" s="54"/>
      <c r="H50" s="54"/>
    </row>
  </sheetData>
  <sheetProtection/>
  <mergeCells count="6">
    <mergeCell ref="B7:H7"/>
    <mergeCell ref="B8:H8"/>
    <mergeCell ref="D11:E11"/>
    <mergeCell ref="D12:E12"/>
    <mergeCell ref="G11:H11"/>
    <mergeCell ref="G12:H12"/>
  </mergeCells>
  <printOptions/>
  <pageMargins left="0.7" right="0.7" top="0.75" bottom="0.75" header="0.3" footer="0.3"/>
  <pageSetup fitToHeight="1" fitToWidth="1" horizontalDpi="600" verticalDpi="600" orientation="portrait" paperSize="9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N97"/>
  <sheetViews>
    <sheetView view="pageLayout" workbookViewId="0" topLeftCell="A30">
      <selection activeCell="G68" sqref="G68"/>
    </sheetView>
  </sheetViews>
  <sheetFormatPr defaultColWidth="9.140625" defaultRowHeight="12.75"/>
  <cols>
    <col min="1" max="1" width="2.421875" style="2" customWidth="1"/>
    <col min="2" max="2" width="22.57421875" style="2" customWidth="1"/>
    <col min="3" max="3" width="8.140625" style="2" customWidth="1"/>
    <col min="4" max="4" width="10.7109375" style="2" customWidth="1"/>
    <col min="5" max="5" width="10.8515625" style="2" customWidth="1"/>
    <col min="6" max="6" width="11.00390625" style="2" customWidth="1"/>
    <col min="7" max="8" width="10.57421875" style="2" customWidth="1"/>
    <col min="9" max="9" width="9.140625" style="2" customWidth="1"/>
    <col min="10" max="11" width="9.140625" style="54" customWidth="1"/>
    <col min="12" max="12" width="36.8515625" style="54" bestFit="1" customWidth="1"/>
    <col min="13" max="13" width="10.00390625" style="54" bestFit="1" customWidth="1"/>
    <col min="14" max="16384" width="9.140625" style="2" customWidth="1"/>
  </cols>
  <sheetData>
    <row r="1" ht="12.75"/>
    <row r="2" ht="12.75"/>
    <row r="3" ht="12.75"/>
    <row r="4" ht="12.75"/>
    <row r="5" ht="12.75"/>
    <row r="6" ht="12.75"/>
    <row r="7" spans="1:14" ht="15.75">
      <c r="A7" s="180" t="s">
        <v>190</v>
      </c>
      <c r="B7" s="180"/>
      <c r="C7" s="180"/>
      <c r="D7" s="180"/>
      <c r="E7" s="180"/>
      <c r="F7" s="180"/>
      <c r="G7" s="180"/>
      <c r="H7" s="180"/>
      <c r="N7" s="2" t="s">
        <v>158</v>
      </c>
    </row>
    <row r="8" spans="1:8" ht="15.75">
      <c r="A8" s="180" t="s">
        <v>287</v>
      </c>
      <c r="B8" s="180"/>
      <c r="C8" s="180"/>
      <c r="D8" s="180"/>
      <c r="E8" s="180"/>
      <c r="F8" s="180"/>
      <c r="G8" s="180"/>
      <c r="H8" s="180"/>
    </row>
    <row r="9" spans="1:8" ht="26.25" customHeight="1">
      <c r="A9" s="180" t="s">
        <v>176</v>
      </c>
      <c r="B9" s="180"/>
      <c r="C9" s="180"/>
      <c r="D9" s="180"/>
      <c r="E9" s="180"/>
      <c r="F9" s="180"/>
      <c r="G9" s="180"/>
      <c r="H9" s="180"/>
    </row>
    <row r="10" spans="1:12" ht="13.5" thickBot="1">
      <c r="A10" s="50"/>
      <c r="B10" s="33"/>
      <c r="D10" s="34"/>
      <c r="H10" s="6"/>
      <c r="L10" s="84"/>
    </row>
    <row r="11" spans="1:12" ht="13.5" customHeight="1" thickBot="1">
      <c r="A11" s="181" t="s">
        <v>184</v>
      </c>
      <c r="B11" s="182"/>
      <c r="C11" s="185"/>
      <c r="D11" s="185"/>
      <c r="E11" s="185"/>
      <c r="F11" s="148" t="s">
        <v>18</v>
      </c>
      <c r="G11" s="148" t="s">
        <v>7</v>
      </c>
      <c r="H11" s="149" t="s">
        <v>7</v>
      </c>
      <c r="L11" s="84"/>
    </row>
    <row r="12" spans="1:12" ht="12.75">
      <c r="A12" s="50"/>
      <c r="B12" s="33"/>
      <c r="D12" s="34"/>
      <c r="H12" s="6"/>
      <c r="L12" s="84"/>
    </row>
    <row r="13" spans="1:12" ht="12.75">
      <c r="A13" s="50"/>
      <c r="B13" s="33" t="s">
        <v>301</v>
      </c>
      <c r="D13" s="34"/>
      <c r="G13" s="92">
        <v>352502</v>
      </c>
      <c r="H13" s="6"/>
      <c r="L13" s="84"/>
    </row>
    <row r="14" spans="1:12" ht="12.75">
      <c r="A14" s="50"/>
      <c r="B14" s="33" t="s">
        <v>302</v>
      </c>
      <c r="D14" s="34"/>
      <c r="G14" s="92">
        <f>159+5</f>
        <v>164</v>
      </c>
      <c r="H14" s="6"/>
      <c r="L14" s="84"/>
    </row>
    <row r="15" spans="1:12" ht="12.75">
      <c r="A15" s="50"/>
      <c r="B15" s="33" t="s">
        <v>303</v>
      </c>
      <c r="D15" s="34"/>
      <c r="G15" s="92">
        <f>1967-26</f>
        <v>1941</v>
      </c>
      <c r="H15" s="6"/>
      <c r="L15" s="84"/>
    </row>
    <row r="16" spans="1:12" ht="12.75">
      <c r="A16" s="50"/>
      <c r="B16" s="33" t="s">
        <v>304</v>
      </c>
      <c r="D16" s="34"/>
      <c r="G16" s="92">
        <v>0</v>
      </c>
      <c r="H16" s="6"/>
      <c r="L16" s="84"/>
    </row>
    <row r="17" spans="1:12" ht="12.75">
      <c r="A17" s="50"/>
      <c r="B17" s="33"/>
      <c r="D17" s="34"/>
      <c r="G17" s="83"/>
      <c r="H17" s="6"/>
      <c r="L17" s="84"/>
    </row>
    <row r="18" spans="1:12" ht="13.5" thickBot="1">
      <c r="A18" s="50"/>
      <c r="B18" s="33"/>
      <c r="D18" s="34"/>
      <c r="H18" s="35">
        <f>SUM(G13:G16)</f>
        <v>354607</v>
      </c>
      <c r="L18" s="84"/>
    </row>
    <row r="19" spans="1:4" ht="6.75" customHeight="1" thickBot="1" thickTop="1">
      <c r="A19" s="28"/>
      <c r="B19" s="28"/>
      <c r="C19" s="28"/>
      <c r="D19" s="29"/>
    </row>
    <row r="20" spans="1:8" ht="13.5" thickBot="1">
      <c r="A20" s="181" t="s">
        <v>279</v>
      </c>
      <c r="B20" s="182"/>
      <c r="C20" s="185"/>
      <c r="D20" s="185"/>
      <c r="E20" s="185"/>
      <c r="F20" s="148" t="s">
        <v>18</v>
      </c>
      <c r="G20" s="148" t="s">
        <v>7</v>
      </c>
      <c r="H20" s="149" t="s">
        <v>7</v>
      </c>
    </row>
    <row r="21" spans="1:12" ht="6.75" customHeight="1">
      <c r="A21" s="31"/>
      <c r="B21" s="31"/>
      <c r="C21" s="28"/>
      <c r="D21" s="30"/>
      <c r="H21" s="32"/>
      <c r="L21" s="84"/>
    </row>
    <row r="22" spans="1:12" ht="12.75">
      <c r="A22" s="97" t="s">
        <v>229</v>
      </c>
      <c r="B22" s="96"/>
      <c r="C22" s="54"/>
      <c r="D22" s="34"/>
      <c r="E22" s="54"/>
      <c r="F22" s="54"/>
      <c r="G22" s="54"/>
      <c r="H22" s="55"/>
      <c r="L22" s="84"/>
    </row>
    <row r="23" spans="1:12" ht="12.75">
      <c r="A23" s="96" t="s">
        <v>28</v>
      </c>
      <c r="B23" s="96" t="s">
        <v>27</v>
      </c>
      <c r="C23" s="54"/>
      <c r="D23" s="54"/>
      <c r="E23" s="54"/>
      <c r="F23" s="54"/>
      <c r="G23" s="14">
        <f>14494-887-1750-1257+79</f>
        <v>10679</v>
      </c>
      <c r="H23" s="55"/>
      <c r="L23" s="84"/>
    </row>
    <row r="24" spans="1:12" ht="12.75">
      <c r="A24" s="96" t="s">
        <v>28</v>
      </c>
      <c r="B24" s="96" t="s">
        <v>212</v>
      </c>
      <c r="C24" s="54"/>
      <c r="D24" s="54"/>
      <c r="E24" s="54"/>
      <c r="F24" s="54"/>
      <c r="G24" s="14">
        <v>1050</v>
      </c>
      <c r="H24" s="99"/>
      <c r="L24" s="84"/>
    </row>
    <row r="25" spans="1:12" ht="12.75">
      <c r="A25" s="96" t="s">
        <v>28</v>
      </c>
      <c r="B25" s="96" t="s">
        <v>213</v>
      </c>
      <c r="C25" s="54"/>
      <c r="D25" s="54"/>
      <c r="E25" s="54"/>
      <c r="F25" s="54"/>
      <c r="G25" s="14">
        <v>450</v>
      </c>
      <c r="H25" s="99"/>
      <c r="L25" s="84"/>
    </row>
    <row r="26" spans="1:12" ht="12.75">
      <c r="A26" s="28" t="s">
        <v>28</v>
      </c>
      <c r="B26" s="49" t="s">
        <v>230</v>
      </c>
      <c r="C26" s="28"/>
      <c r="D26" s="54"/>
      <c r="E26" s="54"/>
      <c r="F26" s="54"/>
      <c r="G26" s="14">
        <v>710</v>
      </c>
      <c r="H26" s="55"/>
      <c r="L26" s="84"/>
    </row>
    <row r="27" spans="1:12" ht="25.5">
      <c r="A27" s="28" t="s">
        <v>28</v>
      </c>
      <c r="B27" s="49" t="s">
        <v>310</v>
      </c>
      <c r="C27" s="28"/>
      <c r="D27" s="54"/>
      <c r="E27" s="54"/>
      <c r="F27" s="54"/>
      <c r="G27" s="14">
        <v>1409</v>
      </c>
      <c r="H27" s="55"/>
      <c r="L27" s="84"/>
    </row>
    <row r="28" spans="1:12" ht="12.75">
      <c r="A28" s="28" t="s">
        <v>28</v>
      </c>
      <c r="B28" s="49" t="s">
        <v>305</v>
      </c>
      <c r="C28" s="28"/>
      <c r="D28" s="54"/>
      <c r="E28" s="54"/>
      <c r="F28" s="54"/>
      <c r="G28" s="14">
        <v>9000</v>
      </c>
      <c r="H28" s="55"/>
      <c r="L28" s="84"/>
    </row>
    <row r="29" spans="1:12" ht="12.75">
      <c r="A29" s="28"/>
      <c r="B29" s="49" t="s">
        <v>284</v>
      </c>
      <c r="C29" s="28"/>
      <c r="D29" s="54"/>
      <c r="E29" s="54"/>
      <c r="F29" s="54"/>
      <c r="G29" s="14">
        <v>2324.7</v>
      </c>
      <c r="H29" s="55"/>
      <c r="L29" s="84"/>
    </row>
    <row r="30" spans="1:12" ht="24.75" customHeight="1">
      <c r="A30" s="28" t="s">
        <v>28</v>
      </c>
      <c r="B30" s="49" t="s">
        <v>286</v>
      </c>
      <c r="C30" s="28"/>
      <c r="D30" s="54"/>
      <c r="E30" s="54"/>
      <c r="F30" s="54"/>
      <c r="G30" s="14">
        <v>125</v>
      </c>
      <c r="H30" s="55"/>
      <c r="L30" s="84"/>
    </row>
    <row r="31" spans="1:12" ht="12.75">
      <c r="A31" s="28" t="s">
        <v>28</v>
      </c>
      <c r="B31" s="49" t="s">
        <v>292</v>
      </c>
      <c r="C31" s="28"/>
      <c r="D31" s="54"/>
      <c r="E31" s="54"/>
      <c r="F31" s="54"/>
      <c r="G31" s="14">
        <v>420</v>
      </c>
      <c r="H31" s="55"/>
      <c r="L31" s="84"/>
    </row>
    <row r="32" spans="1:12" ht="12.75">
      <c r="A32" s="28" t="s">
        <v>28</v>
      </c>
      <c r="B32" s="49" t="s">
        <v>293</v>
      </c>
      <c r="C32" s="28"/>
      <c r="D32" s="54"/>
      <c r="E32" s="54"/>
      <c r="F32" s="54"/>
      <c r="G32" s="14">
        <v>228</v>
      </c>
      <c r="H32" s="55"/>
      <c r="L32" s="84"/>
    </row>
    <row r="33" spans="1:12" ht="12.75">
      <c r="A33" s="28" t="s">
        <v>28</v>
      </c>
      <c r="B33" s="49" t="s">
        <v>294</v>
      </c>
      <c r="C33" s="28"/>
      <c r="D33" s="54"/>
      <c r="E33" s="54"/>
      <c r="F33" s="54"/>
      <c r="G33" s="14">
        <v>455</v>
      </c>
      <c r="H33" s="55"/>
      <c r="L33" s="84"/>
    </row>
    <row r="34" spans="1:12" ht="12.75">
      <c r="A34" s="28" t="s">
        <v>28</v>
      </c>
      <c r="B34" s="49" t="s">
        <v>295</v>
      </c>
      <c r="C34" s="28"/>
      <c r="D34" s="54"/>
      <c r="E34" s="54"/>
      <c r="F34" s="54"/>
      <c r="G34" s="14">
        <v>109</v>
      </c>
      <c r="H34" s="55"/>
      <c r="L34" s="84"/>
    </row>
    <row r="35" spans="1:12" ht="12.75">
      <c r="A35" s="28" t="s">
        <v>28</v>
      </c>
      <c r="B35" s="49" t="s">
        <v>257</v>
      </c>
      <c r="C35" s="28"/>
      <c r="D35" s="54"/>
      <c r="E35" s="54"/>
      <c r="F35" s="54"/>
      <c r="G35" s="14">
        <v>600</v>
      </c>
      <c r="H35" s="55"/>
      <c r="L35" s="84"/>
    </row>
    <row r="36" spans="1:12" ht="12.75" customHeight="1">
      <c r="A36" s="28"/>
      <c r="B36" s="108"/>
      <c r="C36" s="28"/>
      <c r="D36" s="54"/>
      <c r="E36" s="54"/>
      <c r="F36" s="54"/>
      <c r="G36" s="13"/>
      <c r="H36" s="37"/>
      <c r="L36" s="84"/>
    </row>
    <row r="37" spans="1:12" ht="13.5" thickBot="1">
      <c r="A37" s="28"/>
      <c r="B37" s="49"/>
      <c r="C37" s="28"/>
      <c r="D37" s="54"/>
      <c r="E37" s="54"/>
      <c r="F37" s="54"/>
      <c r="G37" s="54"/>
      <c r="H37" s="86">
        <f>SUM(G23:G36)</f>
        <v>27559.7</v>
      </c>
      <c r="L37" s="84"/>
    </row>
    <row r="38" spans="1:12" ht="6.75" customHeight="1" thickBot="1" thickTop="1">
      <c r="A38" s="28"/>
      <c r="B38" s="49"/>
      <c r="C38" s="28"/>
      <c r="D38" s="54"/>
      <c r="E38" s="54"/>
      <c r="F38" s="54"/>
      <c r="G38" s="54"/>
      <c r="H38" s="37"/>
      <c r="L38" s="84"/>
    </row>
    <row r="39" spans="1:12" ht="13.5" customHeight="1" thickBot="1">
      <c r="A39" s="181" t="s">
        <v>280</v>
      </c>
      <c r="B39" s="182"/>
      <c r="C39" s="182"/>
      <c r="D39" s="182"/>
      <c r="E39" s="182"/>
      <c r="F39" s="148" t="s">
        <v>18</v>
      </c>
      <c r="G39" s="148" t="s">
        <v>7</v>
      </c>
      <c r="H39" s="149" t="s">
        <v>7</v>
      </c>
      <c r="L39" s="84"/>
    </row>
    <row r="40" spans="1:12" ht="6.75" customHeight="1">
      <c r="A40" s="36"/>
      <c r="B40" s="36"/>
      <c r="C40" s="54"/>
      <c r="D40" s="54"/>
      <c r="E40" s="54"/>
      <c r="F40" s="54"/>
      <c r="G40" s="54"/>
      <c r="H40" s="54"/>
      <c r="L40" s="84"/>
    </row>
    <row r="41" spans="1:13" ht="12.75">
      <c r="A41" s="97" t="s">
        <v>26</v>
      </c>
      <c r="B41" s="96"/>
      <c r="C41" s="54"/>
      <c r="D41" s="34"/>
      <c r="E41" s="54"/>
      <c r="F41" s="54"/>
      <c r="G41" s="54"/>
      <c r="H41" s="55"/>
      <c r="M41" s="84"/>
    </row>
    <row r="42" spans="1:13" ht="12.75">
      <c r="A42" s="96" t="s">
        <v>28</v>
      </c>
      <c r="B42" s="96" t="s">
        <v>75</v>
      </c>
      <c r="C42" s="54"/>
      <c r="D42" s="34"/>
      <c r="E42" s="54"/>
      <c r="F42" s="54"/>
      <c r="G42" s="55">
        <f>+'Bank Reconciliations'!G18</f>
        <v>15132</v>
      </c>
      <c r="H42" s="55"/>
      <c r="L42" s="84"/>
      <c r="M42" s="84"/>
    </row>
    <row r="43" spans="1:13" ht="12.75">
      <c r="A43" s="96" t="s">
        <v>28</v>
      </c>
      <c r="B43" s="96" t="s">
        <v>189</v>
      </c>
      <c r="C43" s="54"/>
      <c r="D43" s="34"/>
      <c r="E43" s="54"/>
      <c r="F43" s="54"/>
      <c r="G43" s="172">
        <f>-170-360-78</f>
        <v>-608</v>
      </c>
      <c r="H43" s="55">
        <f>G42+G43</f>
        <v>14524</v>
      </c>
      <c r="M43" s="84"/>
    </row>
    <row r="44" spans="1:13" ht="12.75">
      <c r="A44" s="97" t="s">
        <v>182</v>
      </c>
      <c r="B44" s="49"/>
      <c r="C44" s="28"/>
      <c r="D44" s="54"/>
      <c r="E44" s="54"/>
      <c r="F44" s="54"/>
      <c r="G44" s="55"/>
      <c r="H44" s="55"/>
      <c r="M44" s="84"/>
    </row>
    <row r="45" spans="1:13" ht="12.75">
      <c r="A45" s="96" t="s">
        <v>28</v>
      </c>
      <c r="B45" s="96" t="s">
        <v>75</v>
      </c>
      <c r="C45" s="28"/>
      <c r="D45" s="54"/>
      <c r="E45" s="54"/>
      <c r="F45" s="54"/>
      <c r="G45" s="55">
        <f>+'Bank Reconciliations'!G29+'Bank Reconciliations'!G40</f>
        <v>4706</v>
      </c>
      <c r="H45" s="55"/>
      <c r="L45" s="84"/>
      <c r="M45" s="84"/>
    </row>
    <row r="46" spans="1:13" ht="12.75">
      <c r="A46" s="96" t="s">
        <v>28</v>
      </c>
      <c r="B46" s="96" t="s">
        <v>169</v>
      </c>
      <c r="C46" s="28"/>
      <c r="D46" s="54"/>
      <c r="E46" s="54"/>
      <c r="F46" s="54"/>
      <c r="G46" s="172">
        <f>-69-213</f>
        <v>-282</v>
      </c>
      <c r="H46" s="55">
        <f>SUM(G45:G46)</f>
        <v>4424</v>
      </c>
      <c r="L46" s="84"/>
      <c r="M46" s="84"/>
    </row>
    <row r="47" spans="1:12" ht="12.75">
      <c r="A47" s="97" t="s">
        <v>29</v>
      </c>
      <c r="B47" s="96"/>
      <c r="C47" s="54"/>
      <c r="D47" s="54"/>
      <c r="E47" s="54"/>
      <c r="F47" s="54"/>
      <c r="G47" s="55"/>
      <c r="H47" s="55"/>
      <c r="L47" s="84"/>
    </row>
    <row r="48" spans="1:12" ht="12.75">
      <c r="A48" s="96" t="s">
        <v>28</v>
      </c>
      <c r="B48" s="96" t="s">
        <v>169</v>
      </c>
      <c r="C48" s="28"/>
      <c r="D48" s="54"/>
      <c r="E48" s="54"/>
      <c r="F48" s="54"/>
      <c r="G48" s="81"/>
      <c r="H48" s="55">
        <f>G48</f>
        <v>0</v>
      </c>
      <c r="L48" s="84"/>
    </row>
    <row r="49" spans="1:12" ht="12.75">
      <c r="A49" s="97" t="s">
        <v>32</v>
      </c>
      <c r="B49" s="49"/>
      <c r="C49" s="28"/>
      <c r="D49" s="54"/>
      <c r="E49" s="54"/>
      <c r="F49" s="54"/>
      <c r="G49" s="14"/>
      <c r="H49" s="55"/>
      <c r="L49" s="84"/>
    </row>
    <row r="50" spans="1:12" ht="12.75">
      <c r="A50" s="96" t="s">
        <v>28</v>
      </c>
      <c r="B50" s="96" t="s">
        <v>75</v>
      </c>
      <c r="C50" s="28"/>
      <c r="D50" s="54"/>
      <c r="E50" s="54"/>
      <c r="F50" s="54"/>
      <c r="G50" s="105">
        <f>+'Bank Reconciliations'!G51</f>
        <v>34887</v>
      </c>
      <c r="H50" s="14"/>
      <c r="L50" s="84"/>
    </row>
    <row r="51" spans="1:12" ht="13.5" customHeight="1">
      <c r="A51" s="96" t="s">
        <v>28</v>
      </c>
      <c r="B51" s="96" t="s">
        <v>169</v>
      </c>
      <c r="C51" s="28"/>
      <c r="D51" s="54"/>
      <c r="E51" s="54"/>
      <c r="F51" s="54"/>
      <c r="G51" s="55">
        <v>274</v>
      </c>
      <c r="H51" s="102">
        <f>G50+G51</f>
        <v>35161</v>
      </c>
      <c r="L51" s="84"/>
    </row>
    <row r="52" spans="1:12" ht="13.5" thickBot="1">
      <c r="A52" s="28"/>
      <c r="B52" s="49"/>
      <c r="C52" s="28"/>
      <c r="D52" s="54"/>
      <c r="E52" s="54"/>
      <c r="F52" s="54"/>
      <c r="G52" s="55"/>
      <c r="H52" s="35">
        <f>SUM(H42:H51)</f>
        <v>54109</v>
      </c>
      <c r="L52" s="84"/>
    </row>
    <row r="53" spans="1:12" ht="6.75" customHeight="1" thickBot="1" thickTop="1">
      <c r="A53" s="28"/>
      <c r="B53" s="28"/>
      <c r="C53" s="28"/>
      <c r="D53" s="54"/>
      <c r="E53" s="54"/>
      <c r="F53" s="54"/>
      <c r="G53" s="54"/>
      <c r="H53" s="54"/>
      <c r="L53" s="84"/>
    </row>
    <row r="54" spans="1:12" ht="13.5" customHeight="1" thickBot="1">
      <c r="A54" s="181" t="s">
        <v>281</v>
      </c>
      <c r="B54" s="182"/>
      <c r="C54" s="182"/>
      <c r="D54" s="182"/>
      <c r="E54" s="182"/>
      <c r="F54" s="148" t="s">
        <v>18</v>
      </c>
      <c r="G54" s="148" t="s">
        <v>7</v>
      </c>
      <c r="H54" s="149" t="s">
        <v>7</v>
      </c>
      <c r="L54" s="84"/>
    </row>
    <row r="55" spans="1:12" ht="12.75">
      <c r="A55" s="97" t="s">
        <v>2</v>
      </c>
      <c r="B55" s="96"/>
      <c r="C55" s="54"/>
      <c r="D55" s="34"/>
      <c r="E55" s="54"/>
      <c r="F55" s="54"/>
      <c r="G55" s="54"/>
      <c r="H55" s="55"/>
      <c r="L55" s="84"/>
    </row>
    <row r="56" spans="1:12" ht="12.75">
      <c r="A56" s="96" t="s">
        <v>28</v>
      </c>
      <c r="B56" s="96" t="s">
        <v>160</v>
      </c>
      <c r="C56" s="54"/>
      <c r="D56" s="34"/>
      <c r="E56" s="54"/>
      <c r="F56" s="54"/>
      <c r="G56" s="55">
        <f>11406-287+2</f>
        <v>11121</v>
      </c>
      <c r="H56" s="55"/>
      <c r="L56" s="84"/>
    </row>
    <row r="57" spans="1:8" ht="12.75">
      <c r="A57" s="96" t="s">
        <v>28</v>
      </c>
      <c r="B57" s="33" t="s">
        <v>258</v>
      </c>
      <c r="G57" s="55">
        <v>4900</v>
      </c>
      <c r="H57" s="55"/>
    </row>
    <row r="58" spans="1:8" ht="12.75" customHeight="1" hidden="1">
      <c r="A58" s="96" t="s">
        <v>28</v>
      </c>
      <c r="B58" s="33" t="s">
        <v>170</v>
      </c>
      <c r="G58" s="55">
        <v>0</v>
      </c>
      <c r="H58" s="55"/>
    </row>
    <row r="59" spans="1:8" ht="12.75" customHeight="1" hidden="1">
      <c r="A59" s="96" t="s">
        <v>28</v>
      </c>
      <c r="B59" s="33" t="s">
        <v>27</v>
      </c>
      <c r="G59" s="55">
        <v>0</v>
      </c>
      <c r="H59" s="55"/>
    </row>
    <row r="60" spans="1:8" ht="12.75" customHeight="1">
      <c r="A60" s="96" t="s">
        <v>28</v>
      </c>
      <c r="B60" s="33" t="s">
        <v>259</v>
      </c>
      <c r="G60" s="55">
        <f>1250*2</f>
        <v>2500</v>
      </c>
      <c r="H60" s="55"/>
    </row>
    <row r="61" spans="1:8" ht="12.75" customHeight="1">
      <c r="A61" s="96" t="s">
        <v>28</v>
      </c>
      <c r="B61" s="33" t="s">
        <v>296</v>
      </c>
      <c r="G61" s="55">
        <v>3955</v>
      </c>
      <c r="H61" s="55"/>
    </row>
    <row r="62" spans="1:8" ht="12.75" customHeight="1">
      <c r="A62" s="96" t="s">
        <v>28</v>
      </c>
      <c r="B62" s="33" t="s">
        <v>297</v>
      </c>
      <c r="G62" s="55">
        <f>1176</f>
        <v>1176</v>
      </c>
      <c r="H62" s="55"/>
    </row>
    <row r="63" spans="1:8" ht="12.75" customHeight="1">
      <c r="A63" s="96" t="s">
        <v>28</v>
      </c>
      <c r="B63" s="106" t="s">
        <v>220</v>
      </c>
      <c r="C63" s="107"/>
      <c r="G63" s="55">
        <v>229</v>
      </c>
      <c r="H63" s="55"/>
    </row>
    <row r="64" spans="1:8" ht="12.75" customHeight="1">
      <c r="A64" s="96" t="s">
        <v>28</v>
      </c>
      <c r="B64" s="106" t="s">
        <v>306</v>
      </c>
      <c r="C64" s="107"/>
      <c r="G64" s="55">
        <v>146</v>
      </c>
      <c r="H64" s="55"/>
    </row>
    <row r="65" spans="1:12" ht="13.5" customHeight="1">
      <c r="A65" s="97" t="s">
        <v>28</v>
      </c>
      <c r="B65" s="33" t="s">
        <v>298</v>
      </c>
      <c r="C65" s="107"/>
      <c r="G65" s="55">
        <v>435</v>
      </c>
      <c r="H65" s="55"/>
      <c r="L65" s="84"/>
    </row>
    <row r="66" spans="1:12" ht="13.5" customHeight="1">
      <c r="A66" s="97" t="s">
        <v>28</v>
      </c>
      <c r="B66" s="33" t="s">
        <v>307</v>
      </c>
      <c r="C66" s="107"/>
      <c r="G66" s="55">
        <v>248</v>
      </c>
      <c r="H66" s="55"/>
      <c r="L66" s="84"/>
    </row>
    <row r="67" spans="1:12" ht="13.5" customHeight="1">
      <c r="A67" s="97" t="s">
        <v>28</v>
      </c>
      <c r="B67" s="33" t="s">
        <v>311</v>
      </c>
      <c r="C67" s="107"/>
      <c r="G67" s="55">
        <v>930</v>
      </c>
      <c r="H67" s="55"/>
      <c r="L67" s="84"/>
    </row>
    <row r="68" spans="1:12" ht="13.5" customHeight="1">
      <c r="A68" s="49"/>
      <c r="B68" s="33"/>
      <c r="C68" s="107"/>
      <c r="G68" s="55"/>
      <c r="H68" s="55"/>
      <c r="L68" s="84"/>
    </row>
    <row r="69" spans="1:12" ht="19.5" customHeight="1" thickBot="1">
      <c r="A69" s="28"/>
      <c r="B69" s="49"/>
      <c r="C69" s="28"/>
      <c r="D69" s="54"/>
      <c r="E69" s="54"/>
      <c r="F69" s="54"/>
      <c r="G69" s="55"/>
      <c r="H69" s="35">
        <f>SUM(G56:G68)</f>
        <v>25640</v>
      </c>
      <c r="L69" s="84"/>
    </row>
    <row r="70" spans="1:12" ht="8.25" customHeight="1" thickTop="1">
      <c r="A70" s="54"/>
      <c r="B70" s="54"/>
      <c r="C70" s="54"/>
      <c r="D70" s="54"/>
      <c r="E70" s="54"/>
      <c r="F70" s="54"/>
      <c r="G70" s="55"/>
      <c r="H70" s="55" t="s">
        <v>158</v>
      </c>
      <c r="L70" s="84"/>
    </row>
    <row r="71" spans="1:8" ht="12.75">
      <c r="A71" s="183"/>
      <c r="B71" s="184"/>
      <c r="C71" s="184"/>
      <c r="D71" s="184"/>
      <c r="E71" s="184"/>
      <c r="F71" s="184"/>
      <c r="G71" s="184"/>
      <c r="H71" s="184"/>
    </row>
    <row r="72" spans="1:12" ht="12.75">
      <c r="A72" s="54"/>
      <c r="B72" s="54"/>
      <c r="C72" s="54"/>
      <c r="D72" s="54"/>
      <c r="E72" s="54"/>
      <c r="F72" s="54"/>
      <c r="G72" s="54"/>
      <c r="H72" s="54"/>
      <c r="L72" s="84"/>
    </row>
    <row r="73" spans="1:8" ht="12.75">
      <c r="A73" s="54"/>
      <c r="B73" s="54"/>
      <c r="C73" s="54"/>
      <c r="D73" s="54"/>
      <c r="E73" s="54"/>
      <c r="F73" s="54"/>
      <c r="G73" s="54"/>
      <c r="H73" s="54"/>
    </row>
    <row r="74" spans="1:8" ht="12.75">
      <c r="A74" s="54"/>
      <c r="B74" s="54"/>
      <c r="C74" s="54"/>
      <c r="D74" s="54"/>
      <c r="E74" s="54"/>
      <c r="F74" s="54"/>
      <c r="G74" s="54"/>
      <c r="H74" s="54"/>
    </row>
    <row r="75" spans="1:12" ht="12.75">
      <c r="A75" s="54"/>
      <c r="B75" s="54"/>
      <c r="C75" s="54"/>
      <c r="D75" s="54"/>
      <c r="E75" s="54"/>
      <c r="F75" s="54"/>
      <c r="G75" s="54"/>
      <c r="H75" s="54"/>
      <c r="L75" s="84"/>
    </row>
    <row r="76" spans="1:12" ht="12.75">
      <c r="A76" s="54"/>
      <c r="B76" s="54"/>
      <c r="C76" s="54"/>
      <c r="D76" s="54"/>
      <c r="E76" s="54"/>
      <c r="F76" s="54"/>
      <c r="G76" s="54"/>
      <c r="H76" s="54"/>
      <c r="L76" s="84"/>
    </row>
    <row r="77" spans="1:12" ht="12.75">
      <c r="A77" s="54"/>
      <c r="B77" s="54"/>
      <c r="C77" s="54"/>
      <c r="D77" s="54"/>
      <c r="E77" s="54"/>
      <c r="F77" s="54"/>
      <c r="G77" s="54"/>
      <c r="H77" s="54"/>
      <c r="L77" s="84"/>
    </row>
    <row r="78" spans="1:12" ht="12.75">
      <c r="A78" s="54"/>
      <c r="B78" s="54"/>
      <c r="C78" s="54"/>
      <c r="D78" s="54"/>
      <c r="E78" s="54"/>
      <c r="F78" s="54"/>
      <c r="G78" s="54"/>
      <c r="H78" s="54"/>
      <c r="L78" s="84"/>
    </row>
    <row r="79" spans="1:8" ht="12.75">
      <c r="A79" s="54"/>
      <c r="B79" s="54"/>
      <c r="C79" s="54"/>
      <c r="D79" s="54"/>
      <c r="E79" s="54"/>
      <c r="F79" s="54"/>
      <c r="G79" s="54"/>
      <c r="H79" s="54"/>
    </row>
    <row r="80" spans="1:8" ht="12.75">
      <c r="A80" s="54"/>
      <c r="B80" s="54"/>
      <c r="C80" s="54"/>
      <c r="D80" s="54"/>
      <c r="E80" s="54"/>
      <c r="F80" s="54"/>
      <c r="G80" s="54"/>
      <c r="H80" s="54"/>
    </row>
    <row r="81" spans="1:12" ht="12.75">
      <c r="A81" s="54"/>
      <c r="B81" s="54"/>
      <c r="C81" s="54"/>
      <c r="D81" s="54"/>
      <c r="E81" s="54"/>
      <c r="F81" s="54"/>
      <c r="G81" s="54"/>
      <c r="H81" s="54"/>
      <c r="L81" s="84"/>
    </row>
    <row r="82" spans="1:8" ht="12.75">
      <c r="A82" s="54"/>
      <c r="B82" s="54"/>
      <c r="C82" s="54"/>
      <c r="D82" s="54"/>
      <c r="E82" s="54"/>
      <c r="F82" s="54"/>
      <c r="G82" s="54"/>
      <c r="H82" s="54"/>
    </row>
    <row r="83" spans="1:12" ht="12.75">
      <c r="A83" s="54"/>
      <c r="B83" s="54"/>
      <c r="C83" s="54"/>
      <c r="D83" s="54"/>
      <c r="E83" s="54"/>
      <c r="F83" s="54"/>
      <c r="G83" s="54"/>
      <c r="H83" s="54"/>
      <c r="L83" s="84"/>
    </row>
    <row r="84" spans="1:8" ht="12.75">
      <c r="A84" s="54"/>
      <c r="B84" s="54"/>
      <c r="C84" s="54"/>
      <c r="D84" s="54"/>
      <c r="E84" s="54"/>
      <c r="F84" s="54"/>
      <c r="G84" s="54"/>
      <c r="H84" s="54"/>
    </row>
    <row r="85" spans="1:8" ht="12.75">
      <c r="A85" s="54"/>
      <c r="B85" s="54"/>
      <c r="C85" s="54"/>
      <c r="D85" s="54"/>
      <c r="E85" s="54"/>
      <c r="F85" s="54"/>
      <c r="G85" s="54"/>
      <c r="H85" s="54"/>
    </row>
    <row r="86" spans="1:8" ht="12.75">
      <c r="A86" s="54"/>
      <c r="B86" s="54"/>
      <c r="C86" s="54"/>
      <c r="D86" s="54"/>
      <c r="E86" s="54"/>
      <c r="F86" s="54"/>
      <c r="G86" s="54"/>
      <c r="H86" s="54"/>
    </row>
    <row r="87" spans="1:12" ht="12.75">
      <c r="A87" s="54"/>
      <c r="B87" s="54"/>
      <c r="C87" s="54"/>
      <c r="D87" s="54"/>
      <c r="E87" s="54"/>
      <c r="F87" s="54"/>
      <c r="G87" s="54"/>
      <c r="H87" s="54"/>
      <c r="L87" s="84"/>
    </row>
    <row r="88" spans="1:12" ht="12.75">
      <c r="A88" s="54"/>
      <c r="B88" s="54"/>
      <c r="C88" s="54"/>
      <c r="D88" s="54"/>
      <c r="E88" s="54"/>
      <c r="F88" s="54"/>
      <c r="G88" s="54"/>
      <c r="H88" s="54"/>
      <c r="L88" s="84"/>
    </row>
    <row r="89" spans="1:12" ht="12.75">
      <c r="A89" s="54"/>
      <c r="B89" s="54"/>
      <c r="C89" s="54"/>
      <c r="D89" s="54"/>
      <c r="E89" s="54"/>
      <c r="F89" s="54"/>
      <c r="G89" s="54"/>
      <c r="H89" s="54"/>
      <c r="L89" s="84"/>
    </row>
    <row r="90" spans="1:8" ht="12.75">
      <c r="A90" s="54"/>
      <c r="B90" s="54"/>
      <c r="C90" s="54"/>
      <c r="D90" s="54"/>
      <c r="E90" s="54"/>
      <c r="F90" s="54"/>
      <c r="G90" s="54"/>
      <c r="H90" s="54"/>
    </row>
    <row r="91" spans="1:8" ht="12.75">
      <c r="A91" s="54"/>
      <c r="B91" s="54"/>
      <c r="C91" s="54"/>
      <c r="D91" s="54"/>
      <c r="E91" s="54"/>
      <c r="F91" s="54"/>
      <c r="G91" s="54"/>
      <c r="H91" s="54"/>
    </row>
    <row r="92" spans="1:12" ht="12.75">
      <c r="A92" s="54"/>
      <c r="B92" s="54"/>
      <c r="C92" s="54"/>
      <c r="D92" s="54"/>
      <c r="E92" s="54"/>
      <c r="F92" s="54"/>
      <c r="G92" s="54"/>
      <c r="H92" s="54"/>
      <c r="L92" s="84"/>
    </row>
    <row r="93" spans="1:8" ht="12.75">
      <c r="A93" s="54"/>
      <c r="B93" s="54"/>
      <c r="C93" s="54"/>
      <c r="D93" s="54"/>
      <c r="E93" s="54"/>
      <c r="F93" s="54"/>
      <c r="G93" s="54"/>
      <c r="H93" s="54"/>
    </row>
    <row r="94" spans="1:8" ht="12.75">
      <c r="A94" s="54"/>
      <c r="B94" s="54"/>
      <c r="C94" s="54"/>
      <c r="D94" s="54"/>
      <c r="E94" s="54"/>
      <c r="F94" s="54"/>
      <c r="G94" s="54"/>
      <c r="H94" s="54"/>
    </row>
    <row r="95" spans="1:8" ht="12.75">
      <c r="A95" s="54"/>
      <c r="B95" s="54"/>
      <c r="C95" s="54"/>
      <c r="D95" s="54"/>
      <c r="E95" s="54"/>
      <c r="F95" s="54"/>
      <c r="G95" s="54"/>
      <c r="H95" s="54"/>
    </row>
    <row r="96" spans="1:8" ht="12.75">
      <c r="A96" s="54"/>
      <c r="B96" s="54"/>
      <c r="C96" s="54"/>
      <c r="D96" s="54"/>
      <c r="E96" s="54"/>
      <c r="F96" s="54"/>
      <c r="G96" s="54"/>
      <c r="H96" s="54"/>
    </row>
    <row r="97" spans="1:8" ht="12.75">
      <c r="A97" s="54"/>
      <c r="B97" s="54"/>
      <c r="C97" s="54"/>
      <c r="D97" s="54"/>
      <c r="E97" s="54"/>
      <c r="F97" s="54"/>
      <c r="G97" s="54"/>
      <c r="H97" s="54"/>
    </row>
  </sheetData>
  <sheetProtection/>
  <mergeCells count="8">
    <mergeCell ref="A7:H7"/>
    <mergeCell ref="A8:H8"/>
    <mergeCell ref="A9:H9"/>
    <mergeCell ref="A54:E54"/>
    <mergeCell ref="A71:H71"/>
    <mergeCell ref="A20:E20"/>
    <mergeCell ref="A39:E39"/>
    <mergeCell ref="A11:E11"/>
  </mergeCells>
  <printOptions/>
  <pageMargins left="0.7" right="0.7" top="0.75" bottom="0.75" header="0.3" footer="0.3"/>
  <pageSetup fitToHeight="1" fitToWidth="1" horizontalDpi="600" verticalDpi="600" orientation="portrait" paperSize="9" scale="52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N64"/>
  <sheetViews>
    <sheetView zoomScalePageLayoutView="0" workbookViewId="0" topLeftCell="A25">
      <selection activeCell="G44" sqref="G44"/>
    </sheetView>
  </sheetViews>
  <sheetFormatPr defaultColWidth="9.140625" defaultRowHeight="12.75"/>
  <cols>
    <col min="7" max="7" width="10.7109375" style="0" bestFit="1" customWidth="1"/>
  </cols>
  <sheetData>
    <row r="7" spans="1:14" s="2" customFormat="1" ht="15.75">
      <c r="A7" s="146"/>
      <c r="B7" s="180" t="s">
        <v>190</v>
      </c>
      <c r="C7" s="180"/>
      <c r="D7" s="180"/>
      <c r="E7" s="180"/>
      <c r="F7" s="180"/>
      <c r="G7" s="180"/>
      <c r="H7" s="147"/>
      <c r="I7" s="110"/>
      <c r="J7" s="13"/>
      <c r="K7" s="54"/>
      <c r="L7" s="54"/>
      <c r="M7" s="54"/>
      <c r="N7" s="2" t="s">
        <v>158</v>
      </c>
    </row>
    <row r="8" spans="1:13" s="2" customFormat="1" ht="15.75">
      <c r="A8" s="146"/>
      <c r="B8" s="180" t="s">
        <v>287</v>
      </c>
      <c r="C8" s="180"/>
      <c r="D8" s="180"/>
      <c r="E8" s="180"/>
      <c r="F8" s="180"/>
      <c r="G8" s="180"/>
      <c r="H8" s="147"/>
      <c r="I8" s="110"/>
      <c r="J8" s="13"/>
      <c r="K8" s="54"/>
      <c r="L8" s="54"/>
      <c r="M8" s="54"/>
    </row>
    <row r="9" spans="1:13" s="2" customFormat="1" ht="26.25" customHeight="1">
      <c r="A9" s="146"/>
      <c r="B9" s="175" t="s">
        <v>235</v>
      </c>
      <c r="C9" s="175"/>
      <c r="D9" s="175"/>
      <c r="E9" s="175"/>
      <c r="F9" s="175"/>
      <c r="G9" s="175"/>
      <c r="H9" s="147"/>
      <c r="I9" s="110"/>
      <c r="J9" s="13"/>
      <c r="K9" s="54"/>
      <c r="L9" s="54"/>
      <c r="M9" s="54"/>
    </row>
    <row r="10" spans="1:10" ht="15.75">
      <c r="A10" s="151"/>
      <c r="B10" s="151"/>
      <c r="C10" s="151"/>
      <c r="D10" s="151"/>
      <c r="E10" s="151"/>
      <c r="F10" s="151"/>
      <c r="G10" s="151"/>
      <c r="H10" s="151"/>
      <c r="I10" s="150"/>
      <c r="J10" s="150"/>
    </row>
    <row r="11" spans="1:8" ht="15.75">
      <c r="A11" s="138"/>
      <c r="B11" s="138"/>
      <c r="C11" s="138"/>
      <c r="D11" s="138"/>
      <c r="E11" s="138"/>
      <c r="F11" s="138"/>
      <c r="G11" s="138"/>
      <c r="H11" s="138"/>
    </row>
    <row r="12" spans="1:8" ht="15.75">
      <c r="A12" s="138"/>
      <c r="B12" s="138"/>
      <c r="C12" s="138"/>
      <c r="D12" s="138"/>
      <c r="E12" s="138"/>
      <c r="F12" s="138"/>
      <c r="G12" s="138"/>
      <c r="H12" s="138"/>
    </row>
    <row r="13" spans="1:8" ht="15.75">
      <c r="A13" s="138"/>
      <c r="B13" s="138" t="s">
        <v>236</v>
      </c>
      <c r="C13" s="138"/>
      <c r="D13" s="138"/>
      <c r="E13" s="138"/>
      <c r="F13" s="138"/>
      <c r="G13" s="138"/>
      <c r="H13" s="138"/>
    </row>
    <row r="14" spans="1:8" ht="15.75">
      <c r="A14" s="138"/>
      <c r="B14" s="138"/>
      <c r="C14" s="138"/>
      <c r="D14" s="138"/>
      <c r="E14" s="138"/>
      <c r="F14" s="138"/>
      <c r="G14" s="152" t="s">
        <v>7</v>
      </c>
      <c r="H14" s="138"/>
    </row>
    <row r="15" spans="1:8" ht="15.75">
      <c r="A15" s="138"/>
      <c r="B15" s="138" t="s">
        <v>249</v>
      </c>
      <c r="C15" s="138"/>
      <c r="D15" s="138"/>
      <c r="E15" s="138"/>
      <c r="F15" s="138"/>
      <c r="G15" s="153">
        <v>9319</v>
      </c>
      <c r="H15" s="138"/>
    </row>
    <row r="16" spans="1:8" ht="15.75">
      <c r="A16" s="138"/>
      <c r="B16" s="138" t="s">
        <v>242</v>
      </c>
      <c r="C16" s="138"/>
      <c r="D16" s="138"/>
      <c r="E16" s="138"/>
      <c r="F16" s="138"/>
      <c r="G16" s="153">
        <v>256061</v>
      </c>
      <c r="H16" s="138"/>
    </row>
    <row r="17" spans="1:8" ht="15.75">
      <c r="A17" s="138"/>
      <c r="B17" s="138" t="s">
        <v>238</v>
      </c>
      <c r="C17" s="138"/>
      <c r="D17" s="138"/>
      <c r="E17" s="138"/>
      <c r="F17" s="138"/>
      <c r="G17" s="153">
        <f>-249961-287</f>
        <v>-250248</v>
      </c>
      <c r="H17" s="138"/>
    </row>
    <row r="18" spans="1:8" ht="16.5" thickBot="1">
      <c r="A18" s="138"/>
      <c r="B18" s="138" t="s">
        <v>239</v>
      </c>
      <c r="C18" s="138"/>
      <c r="D18" s="138"/>
      <c r="E18" s="138"/>
      <c r="F18" s="138"/>
      <c r="G18" s="154">
        <f>G15+G16+G17</f>
        <v>15132</v>
      </c>
      <c r="H18" s="138"/>
    </row>
    <row r="19" spans="1:8" ht="16.5" thickTop="1">
      <c r="A19" s="138"/>
      <c r="B19" s="138"/>
      <c r="C19" s="138"/>
      <c r="D19" s="138"/>
      <c r="E19" s="138"/>
      <c r="F19" s="138"/>
      <c r="G19" s="155"/>
      <c r="H19" s="138"/>
    </row>
    <row r="20" spans="1:8" ht="15.75">
      <c r="A20" s="138"/>
      <c r="B20" s="138"/>
      <c r="C20" s="138"/>
      <c r="D20" s="138"/>
      <c r="E20" s="138"/>
      <c r="F20" s="138"/>
      <c r="G20" s="155"/>
      <c r="H20" s="138"/>
    </row>
    <row r="21" spans="1:8" ht="16.5" thickBot="1">
      <c r="A21" s="138"/>
      <c r="B21" s="138" t="s">
        <v>291</v>
      </c>
      <c r="C21" s="138"/>
      <c r="D21" s="138"/>
      <c r="E21" s="138"/>
      <c r="F21" s="138"/>
      <c r="G21" s="154">
        <v>15132</v>
      </c>
      <c r="H21" s="138"/>
    </row>
    <row r="22" spans="1:8" ht="16.5" thickTop="1">
      <c r="A22" s="138"/>
      <c r="B22" s="138"/>
      <c r="C22" s="138"/>
      <c r="D22" s="138"/>
      <c r="E22" s="138"/>
      <c r="F22" s="138"/>
      <c r="G22" s="155" t="s">
        <v>158</v>
      </c>
      <c r="H22" s="138"/>
    </row>
    <row r="23" spans="1:8" ht="15.75">
      <c r="A23" s="138"/>
      <c r="B23" s="138"/>
      <c r="C23" s="138"/>
      <c r="D23" s="138"/>
      <c r="E23" s="138"/>
      <c r="F23" s="138"/>
      <c r="G23" s="156"/>
      <c r="H23" s="138"/>
    </row>
    <row r="24" spans="1:8" ht="15.75">
      <c r="A24" s="138"/>
      <c r="B24" s="138" t="s">
        <v>240</v>
      </c>
      <c r="C24" s="138"/>
      <c r="D24" s="138"/>
      <c r="E24" s="138"/>
      <c r="F24" s="138"/>
      <c r="G24" s="156"/>
      <c r="H24" s="138"/>
    </row>
    <row r="25" spans="1:8" ht="15.75">
      <c r="A25" s="138"/>
      <c r="B25" s="138"/>
      <c r="C25" s="138"/>
      <c r="D25" s="138"/>
      <c r="E25" s="138"/>
      <c r="F25" s="138"/>
      <c r="G25" s="113" t="s">
        <v>7</v>
      </c>
      <c r="H25" s="138"/>
    </row>
    <row r="26" spans="1:8" ht="15.75">
      <c r="A26" s="138"/>
      <c r="B26" s="138" t="s">
        <v>249</v>
      </c>
      <c r="C26" s="138"/>
      <c r="D26" s="138"/>
      <c r="E26" s="138"/>
      <c r="F26" s="138"/>
      <c r="G26" s="155">
        <v>1261</v>
      </c>
      <c r="H26" s="138"/>
    </row>
    <row r="27" spans="1:8" ht="15.75">
      <c r="A27" s="138"/>
      <c r="B27" s="138" t="s">
        <v>242</v>
      </c>
      <c r="C27" s="138"/>
      <c r="D27" s="138"/>
      <c r="E27" s="138"/>
      <c r="F27" s="138"/>
      <c r="G27" s="155">
        <v>534</v>
      </c>
      <c r="H27" s="138"/>
    </row>
    <row r="28" spans="1:8" ht="15.75">
      <c r="A28" s="138"/>
      <c r="B28" s="138" t="s">
        <v>237</v>
      </c>
      <c r="C28" s="138"/>
      <c r="D28" s="138"/>
      <c r="E28" s="138"/>
      <c r="F28" s="138"/>
      <c r="G28" s="155">
        <v>-363</v>
      </c>
      <c r="H28" s="138"/>
    </row>
    <row r="29" spans="1:8" ht="16.5" thickBot="1">
      <c r="A29" s="138"/>
      <c r="B29" s="138" t="s">
        <v>239</v>
      </c>
      <c r="C29" s="138"/>
      <c r="D29" s="138"/>
      <c r="E29" s="138"/>
      <c r="F29" s="138"/>
      <c r="G29" s="154">
        <f>G26+G27+G28</f>
        <v>1432</v>
      </c>
      <c r="H29" s="138"/>
    </row>
    <row r="30" spans="1:8" ht="16.5" thickTop="1">
      <c r="A30" s="138"/>
      <c r="B30" s="138"/>
      <c r="C30" s="138"/>
      <c r="D30" s="138"/>
      <c r="E30" s="138"/>
      <c r="F30" s="138"/>
      <c r="G30" s="155"/>
      <c r="H30" s="138"/>
    </row>
    <row r="31" spans="1:8" ht="15.75">
      <c r="A31" s="138"/>
      <c r="B31" s="138"/>
      <c r="C31" s="138"/>
      <c r="D31" s="138"/>
      <c r="E31" s="138"/>
      <c r="F31" s="138"/>
      <c r="G31" s="155"/>
      <c r="H31" s="138"/>
    </row>
    <row r="32" spans="1:8" ht="16.5" thickBot="1">
      <c r="A32" s="138"/>
      <c r="B32" s="138" t="str">
        <f>+B21</f>
        <v>Balance as per Bank Statement 30th June 2020</v>
      </c>
      <c r="C32" s="138"/>
      <c r="D32" s="138"/>
      <c r="E32" s="138"/>
      <c r="F32" s="138"/>
      <c r="G32" s="154">
        <v>1432</v>
      </c>
      <c r="H32" s="138"/>
    </row>
    <row r="33" spans="1:8" ht="16.5" thickTop="1">
      <c r="A33" s="138"/>
      <c r="B33" s="138"/>
      <c r="C33" s="138"/>
      <c r="D33" s="138"/>
      <c r="E33" s="138"/>
      <c r="F33" s="138"/>
      <c r="G33" s="155"/>
      <c r="H33" s="138"/>
    </row>
    <row r="34" spans="1:8" ht="15.75">
      <c r="A34" s="138"/>
      <c r="B34" s="138"/>
      <c r="C34" s="138"/>
      <c r="D34" s="138"/>
      <c r="E34" s="138"/>
      <c r="F34" s="138"/>
      <c r="G34" s="155"/>
      <c r="H34" s="138"/>
    </row>
    <row r="35" spans="1:8" ht="15.75">
      <c r="A35" s="138"/>
      <c r="B35" s="138" t="s">
        <v>241</v>
      </c>
      <c r="C35" s="138"/>
      <c r="D35" s="138"/>
      <c r="E35" s="138"/>
      <c r="F35" s="138"/>
      <c r="G35" s="155"/>
      <c r="H35" s="138"/>
    </row>
    <row r="36" spans="1:8" ht="15.75">
      <c r="A36" s="138"/>
      <c r="B36" s="138"/>
      <c r="C36" s="138"/>
      <c r="D36" s="138"/>
      <c r="E36" s="138"/>
      <c r="F36" s="138"/>
      <c r="G36" s="157" t="s">
        <v>7</v>
      </c>
      <c r="H36" s="138"/>
    </row>
    <row r="37" spans="1:8" ht="15.75">
      <c r="A37" s="138"/>
      <c r="B37" s="138" t="s">
        <v>250</v>
      </c>
      <c r="C37" s="138"/>
      <c r="D37" s="138"/>
      <c r="E37" s="138"/>
      <c r="F37" s="138"/>
      <c r="G37" s="153">
        <v>1999</v>
      </c>
      <c r="H37" s="138"/>
    </row>
    <row r="38" spans="1:8" ht="15.75">
      <c r="A38" s="138"/>
      <c r="B38" s="138" t="s">
        <v>242</v>
      </c>
      <c r="C38" s="138"/>
      <c r="D38" s="138"/>
      <c r="E38" s="138"/>
      <c r="F38" s="138"/>
      <c r="G38" s="153">
        <v>1711</v>
      </c>
      <c r="H38" s="138"/>
    </row>
    <row r="39" spans="1:8" ht="15.75">
      <c r="A39" s="138"/>
      <c r="B39" s="138" t="s">
        <v>243</v>
      </c>
      <c r="C39" s="138"/>
      <c r="D39" s="138"/>
      <c r="E39" s="138"/>
      <c r="F39" s="138"/>
      <c r="G39" s="153">
        <v>-436</v>
      </c>
      <c r="H39" s="138"/>
    </row>
    <row r="40" spans="1:8" ht="16.5" thickBot="1">
      <c r="A40" s="138"/>
      <c r="B40" s="138" t="s">
        <v>244</v>
      </c>
      <c r="C40" s="138"/>
      <c r="D40" s="138"/>
      <c r="E40" s="138"/>
      <c r="F40" s="138"/>
      <c r="G40" s="154">
        <f>G37+G38+G39</f>
        <v>3274</v>
      </c>
      <c r="H40" s="138"/>
    </row>
    <row r="41" spans="1:8" ht="16.5" thickTop="1">
      <c r="A41" s="138"/>
      <c r="B41" s="138"/>
      <c r="C41" s="138"/>
      <c r="D41" s="138"/>
      <c r="E41" s="138"/>
      <c r="F41" s="138"/>
      <c r="G41" s="155"/>
      <c r="H41" s="138"/>
    </row>
    <row r="42" spans="1:8" ht="15.75">
      <c r="A42" s="138"/>
      <c r="B42" s="138"/>
      <c r="C42" s="138"/>
      <c r="D42" s="138"/>
      <c r="E42" s="138"/>
      <c r="F42" s="138"/>
      <c r="G42" s="155"/>
      <c r="H42" s="138"/>
    </row>
    <row r="43" spans="1:8" ht="16.5" thickBot="1">
      <c r="A43" s="138"/>
      <c r="B43" s="138" t="str">
        <f>+B21</f>
        <v>Balance as per Bank Statement 30th June 2020</v>
      </c>
      <c r="C43" s="138"/>
      <c r="D43" s="138"/>
      <c r="E43" s="138"/>
      <c r="F43" s="138"/>
      <c r="G43" s="154">
        <v>3274</v>
      </c>
      <c r="H43" s="138"/>
    </row>
    <row r="44" spans="1:8" ht="16.5" thickTop="1">
      <c r="A44" s="138"/>
      <c r="B44" s="138"/>
      <c r="C44" s="138"/>
      <c r="D44" s="138"/>
      <c r="E44" s="138"/>
      <c r="F44" s="138"/>
      <c r="G44" s="155"/>
      <c r="H44" s="138"/>
    </row>
    <row r="45" spans="1:8" ht="15.75">
      <c r="A45" s="138"/>
      <c r="B45" s="138"/>
      <c r="C45" s="138"/>
      <c r="D45" s="138"/>
      <c r="E45" s="138"/>
      <c r="F45" s="138"/>
      <c r="G45" s="116"/>
      <c r="H45" s="138"/>
    </row>
    <row r="46" spans="1:8" ht="15.75">
      <c r="A46" s="138"/>
      <c r="B46" s="138" t="s">
        <v>245</v>
      </c>
      <c r="C46" s="138"/>
      <c r="D46" s="138"/>
      <c r="E46" s="138"/>
      <c r="F46" s="138"/>
      <c r="G46" s="116"/>
      <c r="H46" s="138"/>
    </row>
    <row r="47" spans="1:8" ht="15.75">
      <c r="A47" s="138"/>
      <c r="B47" s="138"/>
      <c r="C47" s="138"/>
      <c r="D47" s="138"/>
      <c r="E47" s="138"/>
      <c r="F47" s="138"/>
      <c r="G47" s="113" t="s">
        <v>7</v>
      </c>
      <c r="H47" s="138"/>
    </row>
    <row r="48" spans="1:8" ht="15.75">
      <c r="A48" s="138"/>
      <c r="B48" s="138" t="s">
        <v>250</v>
      </c>
      <c r="C48" s="138"/>
      <c r="D48" s="138"/>
      <c r="E48" s="138"/>
      <c r="F48" s="138"/>
      <c r="G48" s="155">
        <v>64497</v>
      </c>
      <c r="H48" s="138"/>
    </row>
    <row r="49" spans="1:8" ht="15.75">
      <c r="A49" s="138"/>
      <c r="B49" s="138" t="s">
        <v>246</v>
      </c>
      <c r="C49" s="138"/>
      <c r="D49" s="138"/>
      <c r="E49" s="138"/>
      <c r="F49" s="138"/>
      <c r="G49" s="155">
        <f>1569+901</f>
        <v>2470</v>
      </c>
      <c r="H49" s="138"/>
    </row>
    <row r="50" spans="1:8" ht="15.75">
      <c r="A50" s="138"/>
      <c r="B50" s="138" t="s">
        <v>247</v>
      </c>
      <c r="C50" s="138"/>
      <c r="D50" s="138"/>
      <c r="E50" s="138"/>
      <c r="F50" s="138"/>
      <c r="G50" s="155">
        <v>-32080</v>
      </c>
      <c r="H50" s="138"/>
    </row>
    <row r="51" spans="1:8" ht="16.5" thickBot="1">
      <c r="A51" s="138"/>
      <c r="B51" s="138" t="s">
        <v>244</v>
      </c>
      <c r="C51" s="138"/>
      <c r="D51" s="138"/>
      <c r="E51" s="138"/>
      <c r="F51" s="138"/>
      <c r="G51" s="154">
        <f>G48+G49+G50</f>
        <v>34887</v>
      </c>
      <c r="H51" s="138"/>
    </row>
    <row r="52" spans="1:8" ht="16.5" thickTop="1">
      <c r="A52" s="138"/>
      <c r="B52" s="138"/>
      <c r="C52" s="138"/>
      <c r="D52" s="138"/>
      <c r="E52" s="138"/>
      <c r="F52" s="138"/>
      <c r="G52" s="155"/>
      <c r="H52" s="138"/>
    </row>
    <row r="53" spans="1:8" ht="15.75">
      <c r="A53" s="138"/>
      <c r="B53" s="138"/>
      <c r="C53" s="138"/>
      <c r="D53" s="138"/>
      <c r="E53" s="138"/>
      <c r="F53" s="138"/>
      <c r="G53" s="153"/>
      <c r="H53" s="138"/>
    </row>
    <row r="54" spans="1:8" ht="16.5" thickBot="1">
      <c r="A54" s="138"/>
      <c r="B54" s="138" t="str">
        <f>+B21</f>
        <v>Balance as per Bank Statement 30th June 2020</v>
      </c>
      <c r="C54" s="138"/>
      <c r="D54" s="138"/>
      <c r="E54" s="138"/>
      <c r="F54" s="138"/>
      <c r="G54" s="158">
        <v>32887</v>
      </c>
      <c r="H54" s="138"/>
    </row>
    <row r="55" spans="1:8" ht="16.5" thickTop="1">
      <c r="A55" s="138"/>
      <c r="B55" s="138"/>
      <c r="C55" s="138"/>
      <c r="D55" s="138"/>
      <c r="E55" s="138"/>
      <c r="F55" s="138"/>
      <c r="G55" s="153"/>
      <c r="H55" s="138"/>
    </row>
    <row r="56" spans="1:8" ht="15.75">
      <c r="A56" s="138"/>
      <c r="B56" s="138"/>
      <c r="C56" s="138"/>
      <c r="D56" s="138"/>
      <c r="E56" s="138"/>
      <c r="F56" s="138"/>
      <c r="G56" s="159"/>
      <c r="H56" s="138"/>
    </row>
    <row r="57" spans="1:8" ht="15.75">
      <c r="A57" s="138"/>
      <c r="B57" s="138"/>
      <c r="C57" s="138"/>
      <c r="D57" s="138"/>
      <c r="E57" s="138"/>
      <c r="F57" s="138"/>
      <c r="G57" s="138"/>
      <c r="H57" s="138"/>
    </row>
    <row r="58" spans="1:8" ht="15.75">
      <c r="A58" s="138"/>
      <c r="B58" s="138"/>
      <c r="C58" s="138"/>
      <c r="D58" s="138"/>
      <c r="E58" s="138"/>
      <c r="F58" s="138"/>
      <c r="G58" s="138"/>
      <c r="H58" s="138"/>
    </row>
    <row r="59" spans="1:8" ht="15.75">
      <c r="A59" s="138"/>
      <c r="B59" s="138"/>
      <c r="C59" s="138"/>
      <c r="D59" s="138"/>
      <c r="E59" s="138"/>
      <c r="F59" s="138"/>
      <c r="G59" s="138"/>
      <c r="H59" s="138"/>
    </row>
    <row r="60" spans="1:8" ht="15.75">
      <c r="A60" s="138"/>
      <c r="B60" s="138"/>
      <c r="C60" s="138"/>
      <c r="D60" s="138"/>
      <c r="E60" s="138"/>
      <c r="F60" s="138"/>
      <c r="G60" s="138"/>
      <c r="H60" s="138"/>
    </row>
    <row r="61" spans="1:8" ht="15.75">
      <c r="A61" s="138"/>
      <c r="B61" s="138"/>
      <c r="C61" s="138"/>
      <c r="D61" s="138"/>
      <c r="E61" s="138"/>
      <c r="F61" s="138"/>
      <c r="G61" s="138"/>
      <c r="H61" s="138"/>
    </row>
    <row r="62" spans="1:8" ht="15.75">
      <c r="A62" s="138"/>
      <c r="B62" s="138"/>
      <c r="C62" s="138"/>
      <c r="D62" s="138"/>
      <c r="E62" s="138"/>
      <c r="F62" s="138"/>
      <c r="G62" s="138"/>
      <c r="H62" s="138"/>
    </row>
    <row r="63" spans="1:8" ht="15.75">
      <c r="A63" s="138"/>
      <c r="B63" s="138"/>
      <c r="C63" s="138"/>
      <c r="D63" s="138"/>
      <c r="E63" s="138"/>
      <c r="F63" s="138"/>
      <c r="G63" s="138"/>
      <c r="H63" s="138"/>
    </row>
    <row r="64" spans="1:8" ht="15.75">
      <c r="A64" s="138"/>
      <c r="B64" s="138"/>
      <c r="C64" s="138"/>
      <c r="D64" s="138"/>
      <c r="E64" s="138"/>
      <c r="F64" s="138"/>
      <c r="G64" s="138"/>
      <c r="H64" s="138"/>
    </row>
  </sheetData>
  <sheetProtection/>
  <mergeCells count="3">
    <mergeCell ref="B7:G7"/>
    <mergeCell ref="B8:G8"/>
    <mergeCell ref="B9:G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34"/>
  <sheetViews>
    <sheetView zoomScalePageLayoutView="0" workbookViewId="0" topLeftCell="A25">
      <selection activeCell="S19" sqref="S19"/>
    </sheetView>
  </sheetViews>
  <sheetFormatPr defaultColWidth="9.140625" defaultRowHeight="12.75"/>
  <cols>
    <col min="1" max="1" width="21.421875" style="0" customWidth="1"/>
    <col min="2" max="7" width="6.57421875" style="0" customWidth="1"/>
    <col min="8" max="8" width="7.8515625" style="0" customWidth="1"/>
    <col min="9" max="9" width="1.7109375" style="0" customWidth="1"/>
    <col min="11" max="11" width="4.8515625" style="0" customWidth="1"/>
    <col min="16" max="16" width="1.57421875" style="0" customWidth="1"/>
  </cols>
  <sheetData>
    <row r="2" ht="12.75">
      <c r="A2" t="s">
        <v>53</v>
      </c>
    </row>
    <row r="4" spans="2:17" ht="12.75"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59</v>
      </c>
      <c r="H4" t="s">
        <v>73</v>
      </c>
      <c r="J4" t="s">
        <v>6</v>
      </c>
      <c r="L4" t="s">
        <v>154</v>
      </c>
      <c r="M4" t="s">
        <v>155</v>
      </c>
      <c r="N4" t="s">
        <v>156</v>
      </c>
      <c r="O4" t="s">
        <v>73</v>
      </c>
      <c r="Q4" t="s">
        <v>6</v>
      </c>
    </row>
    <row r="6" spans="1:17" ht="12.75">
      <c r="A6" t="s">
        <v>52</v>
      </c>
      <c r="B6" s="51">
        <v>135</v>
      </c>
      <c r="C6" s="51">
        <v>130</v>
      </c>
      <c r="D6" s="51">
        <v>30</v>
      </c>
      <c r="E6" s="51">
        <v>45</v>
      </c>
      <c r="F6" s="51">
        <v>195</v>
      </c>
      <c r="G6" s="51">
        <v>35</v>
      </c>
      <c r="H6" s="51"/>
      <c r="J6" s="52">
        <f>SUM(B6:H6)</f>
        <v>570</v>
      </c>
      <c r="L6" s="51">
        <v>40</v>
      </c>
      <c r="M6" s="51">
        <v>50</v>
      </c>
      <c r="N6" s="51">
        <v>40</v>
      </c>
      <c r="O6" s="51"/>
      <c r="Q6" s="52">
        <f>SUM(L6:O6)</f>
        <v>130</v>
      </c>
    </row>
    <row r="7" spans="1:17" ht="12.75">
      <c r="A7" t="s">
        <v>37</v>
      </c>
      <c r="B7" s="51">
        <v>1233.9</v>
      </c>
      <c r="C7" s="51">
        <v>718.1</v>
      </c>
      <c r="D7" s="51">
        <v>1939.7</v>
      </c>
      <c r="E7" s="51">
        <v>1000.4</v>
      </c>
      <c r="F7" s="51">
        <v>934.2</v>
      </c>
      <c r="G7" s="51">
        <v>714.5</v>
      </c>
      <c r="H7" s="51"/>
      <c r="J7" s="52">
        <f>SUM(B7:H7)</f>
        <v>6540.799999999999</v>
      </c>
      <c r="L7" s="51">
        <v>759</v>
      </c>
      <c r="M7" s="51">
        <v>505</v>
      </c>
      <c r="N7" s="51">
        <v>1187</v>
      </c>
      <c r="O7" s="51"/>
      <c r="Q7" s="52">
        <f>SUM(L7:O7)</f>
        <v>2451</v>
      </c>
    </row>
    <row r="8" spans="1:17" ht="12.75">
      <c r="A8" t="s">
        <v>69</v>
      </c>
      <c r="B8" s="51"/>
      <c r="C8" s="51"/>
      <c r="D8" s="51"/>
      <c r="E8" s="51">
        <v>40</v>
      </c>
      <c r="F8" s="51">
        <v>180</v>
      </c>
      <c r="G8" s="51"/>
      <c r="H8" s="51"/>
      <c r="J8" s="52">
        <f>SUM(B8:H8)</f>
        <v>220</v>
      </c>
      <c r="L8" s="51"/>
      <c r="M8" s="51"/>
      <c r="N8" s="51"/>
      <c r="O8" s="51"/>
      <c r="Q8" s="52">
        <f>SUM(L8:O8)</f>
        <v>0</v>
      </c>
    </row>
    <row r="9" spans="1:17" ht="12.75">
      <c r="A9" t="s">
        <v>71</v>
      </c>
      <c r="B9" s="51"/>
      <c r="C9" s="51"/>
      <c r="D9" s="51"/>
      <c r="E9" s="51">
        <v>113.44</v>
      </c>
      <c r="F9" s="51">
        <v>6949</v>
      </c>
      <c r="G9" s="51">
        <v>10500</v>
      </c>
      <c r="H9" s="51">
        <f>-6949-5250</f>
        <v>-12199</v>
      </c>
      <c r="J9" s="52">
        <f>SUM(B9:H9)</f>
        <v>5363.439999999999</v>
      </c>
      <c r="L9" s="51">
        <v>270</v>
      </c>
      <c r="M9" s="51">
        <v>5950</v>
      </c>
      <c r="N9" s="51">
        <v>553</v>
      </c>
      <c r="O9" s="51">
        <v>-5500</v>
      </c>
      <c r="Q9" s="52">
        <f>SUM(L9:O9)</f>
        <v>1273</v>
      </c>
    </row>
    <row r="10" spans="2:15" ht="12.75">
      <c r="B10" s="51"/>
      <c r="C10" s="51"/>
      <c r="D10" s="51"/>
      <c r="E10" s="51"/>
      <c r="F10" s="51"/>
      <c r="G10" s="51"/>
      <c r="H10" s="51"/>
      <c r="L10" s="51"/>
      <c r="M10" s="51"/>
      <c r="N10" s="51"/>
      <c r="O10" s="51"/>
    </row>
    <row r="11" spans="1:17" ht="12.75">
      <c r="A11" t="s">
        <v>66</v>
      </c>
      <c r="B11" s="51">
        <f>SUM(B6:B9)</f>
        <v>1368.9</v>
      </c>
      <c r="C11" s="51">
        <f aca="true" t="shared" si="0" ref="C11:I11">SUM(C6:C9)</f>
        <v>848.1</v>
      </c>
      <c r="D11" s="51">
        <f t="shared" si="0"/>
        <v>1969.7</v>
      </c>
      <c r="E11" s="51">
        <f t="shared" si="0"/>
        <v>1198.8400000000001</v>
      </c>
      <c r="F11" s="51">
        <f t="shared" si="0"/>
        <v>8258.2</v>
      </c>
      <c r="G11" s="51">
        <f t="shared" si="0"/>
        <v>11249.5</v>
      </c>
      <c r="H11" s="51">
        <f t="shared" si="0"/>
        <v>-12199</v>
      </c>
      <c r="I11" s="51">
        <f t="shared" si="0"/>
        <v>0</v>
      </c>
      <c r="J11" s="51">
        <f>SUM(J6:J9)</f>
        <v>12694.239999999998</v>
      </c>
      <c r="L11" s="51">
        <f>SUM(L6:L9)</f>
        <v>1069</v>
      </c>
      <c r="M11" s="51">
        <f>SUM(M6:M9)</f>
        <v>6505</v>
      </c>
      <c r="N11" s="51">
        <f>SUM(N6:N9)</f>
        <v>1780</v>
      </c>
      <c r="O11" s="51">
        <f>SUM(O6:O9)</f>
        <v>-5500</v>
      </c>
      <c r="Q11" s="51">
        <f>SUM(Q6:Q9)</f>
        <v>3854</v>
      </c>
    </row>
    <row r="12" spans="2:15" ht="12.75">
      <c r="B12" s="51"/>
      <c r="C12" s="51"/>
      <c r="D12" s="51"/>
      <c r="E12" s="51"/>
      <c r="F12" s="51"/>
      <c r="G12" s="51"/>
      <c r="H12" s="51"/>
      <c r="L12" s="51"/>
      <c r="M12" s="51"/>
      <c r="N12" s="51"/>
      <c r="O12" s="51"/>
    </row>
    <row r="13" spans="2:15" ht="12.75">
      <c r="B13" s="51"/>
      <c r="C13" s="51"/>
      <c r="D13" s="51"/>
      <c r="E13" s="51"/>
      <c r="F13" s="51"/>
      <c r="G13" s="51"/>
      <c r="H13" s="51"/>
      <c r="L13" s="51"/>
      <c r="M13" s="51"/>
      <c r="N13" s="51"/>
      <c r="O13" s="51"/>
    </row>
    <row r="14" spans="2:15" ht="12.75">
      <c r="B14" s="51"/>
      <c r="C14" s="51"/>
      <c r="D14" s="51"/>
      <c r="E14" s="51"/>
      <c r="F14" s="51"/>
      <c r="G14" s="51"/>
      <c r="H14" s="51"/>
      <c r="L14" s="51"/>
      <c r="M14" s="51"/>
      <c r="N14" s="51"/>
      <c r="O14" s="51"/>
    </row>
    <row r="15" spans="1:17" ht="12.75">
      <c r="A15" t="s">
        <v>70</v>
      </c>
      <c r="B15" s="51">
        <v>0</v>
      </c>
      <c r="C15" s="51">
        <v>829.04</v>
      </c>
      <c r="D15" s="51">
        <v>0</v>
      </c>
      <c r="E15" s="51">
        <v>492</v>
      </c>
      <c r="F15" s="51">
        <v>249.89</v>
      </c>
      <c r="G15" s="51">
        <v>672.9</v>
      </c>
      <c r="H15" s="51"/>
      <c r="J15" s="52">
        <f aca="true" t="shared" si="1" ref="J15:J32">SUM(B15:H15)</f>
        <v>2243.83</v>
      </c>
      <c r="L15" s="51">
        <f>1133</f>
        <v>1133</v>
      </c>
      <c r="M15" s="51">
        <f>772</f>
        <v>772</v>
      </c>
      <c r="N15" s="51"/>
      <c r="O15" s="51"/>
      <c r="Q15" s="52">
        <f>SUM(L15:O15)</f>
        <v>1905</v>
      </c>
    </row>
    <row r="16" spans="1:17" ht="12.75">
      <c r="A16" t="s">
        <v>47</v>
      </c>
      <c r="B16" s="51">
        <v>40</v>
      </c>
      <c r="C16" s="51">
        <v>20</v>
      </c>
      <c r="D16" s="51">
        <v>0</v>
      </c>
      <c r="E16" s="51"/>
      <c r="F16" s="51"/>
      <c r="G16" s="51"/>
      <c r="H16" s="51"/>
      <c r="J16" s="52">
        <f t="shared" si="1"/>
        <v>60</v>
      </c>
      <c r="L16" s="51"/>
      <c r="M16" s="51">
        <v>40</v>
      </c>
      <c r="N16" s="51"/>
      <c r="O16" s="51"/>
      <c r="Q16" s="52">
        <f aca="true" t="shared" si="2" ref="Q16:Q29">SUM(L16:O16)</f>
        <v>40</v>
      </c>
    </row>
    <row r="17" spans="1:17" ht="12.75">
      <c r="A17" t="s">
        <v>35</v>
      </c>
      <c r="B17" s="51">
        <v>275</v>
      </c>
      <c r="C17" s="51">
        <f>40</f>
        <v>40</v>
      </c>
      <c r="D17" s="51">
        <v>255</v>
      </c>
      <c r="E17" s="51">
        <f>30</f>
        <v>30</v>
      </c>
      <c r="F17" s="51">
        <f>101.6</f>
        <v>101.6</v>
      </c>
      <c r="G17" s="51">
        <f>25+79.95</f>
        <v>104.95</v>
      </c>
      <c r="H17" s="51"/>
      <c r="J17" s="53">
        <f t="shared" si="1"/>
        <v>806.5500000000001</v>
      </c>
      <c r="L17" s="51">
        <v>7</v>
      </c>
      <c r="M17" s="51"/>
      <c r="N17" s="51"/>
      <c r="O17" s="51"/>
      <c r="Q17" s="52">
        <f t="shared" si="2"/>
        <v>7</v>
      </c>
    </row>
    <row r="18" spans="1:17" ht="12.75">
      <c r="A18" t="s">
        <v>30</v>
      </c>
      <c r="B18" s="51"/>
      <c r="C18" s="51">
        <v>750</v>
      </c>
      <c r="D18" s="51">
        <v>1966.25</v>
      </c>
      <c r="E18" s="51"/>
      <c r="F18" s="51">
        <f>750+2571.25</f>
        <v>3321.25</v>
      </c>
      <c r="G18" s="51">
        <v>1966.25</v>
      </c>
      <c r="H18" s="51"/>
      <c r="J18" s="53">
        <f t="shared" si="1"/>
        <v>8003.75</v>
      </c>
      <c r="L18" s="51">
        <f>750+2571</f>
        <v>3321</v>
      </c>
      <c r="M18" s="51">
        <f>1966</f>
        <v>1966</v>
      </c>
      <c r="N18" s="51"/>
      <c r="O18" s="51">
        <v>-2751</v>
      </c>
      <c r="Q18" s="52">
        <f t="shared" si="2"/>
        <v>2536</v>
      </c>
    </row>
    <row r="19" spans="1:17" ht="12.75">
      <c r="A19" t="s">
        <v>34</v>
      </c>
      <c r="B19" s="51"/>
      <c r="C19" s="51">
        <f>51.78+155.74</f>
        <v>207.52</v>
      </c>
      <c r="D19" s="51">
        <f>95.6+371.66</f>
        <v>467.26</v>
      </c>
      <c r="E19" s="51"/>
      <c r="F19" s="51">
        <f>45.83+158.62</f>
        <v>204.45</v>
      </c>
      <c r="G19" s="51">
        <f>65.89+194.18</f>
        <v>260.07</v>
      </c>
      <c r="H19" s="51"/>
      <c r="J19" s="53">
        <f t="shared" si="1"/>
        <v>1139.3</v>
      </c>
      <c r="L19" s="51">
        <f>45+120</f>
        <v>165</v>
      </c>
      <c r="M19" s="51">
        <f>45+209</f>
        <v>254</v>
      </c>
      <c r="N19" s="51"/>
      <c r="O19" s="51"/>
      <c r="Q19" s="52">
        <f t="shared" si="2"/>
        <v>419</v>
      </c>
    </row>
    <row r="20" spans="1:17" ht="12.75">
      <c r="A20" t="s">
        <v>33</v>
      </c>
      <c r="B20" s="51">
        <v>0</v>
      </c>
      <c r="C20" s="51">
        <f>110.11+395.6</f>
        <v>505.71000000000004</v>
      </c>
      <c r="D20" s="51">
        <v>0</v>
      </c>
      <c r="E20" s="51">
        <f>253.51+458.44</f>
        <v>711.95</v>
      </c>
      <c r="F20" s="51">
        <f>144.7</f>
        <v>144.7</v>
      </c>
      <c r="G20" s="51">
        <f>414.77</f>
        <v>414.77</v>
      </c>
      <c r="H20" s="51"/>
      <c r="J20" s="53">
        <f t="shared" si="1"/>
        <v>1777.13</v>
      </c>
      <c r="L20" s="51"/>
      <c r="M20" s="51">
        <f>85+279</f>
        <v>364</v>
      </c>
      <c r="N20" s="51"/>
      <c r="O20" s="51"/>
      <c r="Q20" s="52">
        <f t="shared" si="2"/>
        <v>364</v>
      </c>
    </row>
    <row r="21" spans="1:17" ht="12.75">
      <c r="A21" t="s">
        <v>60</v>
      </c>
      <c r="B21" s="51">
        <v>10.3</v>
      </c>
      <c r="C21" s="51">
        <v>27.9</v>
      </c>
      <c r="D21" s="51">
        <v>31.3</v>
      </c>
      <c r="E21" s="51">
        <v>22.3</v>
      </c>
      <c r="F21" s="51"/>
      <c r="G21" s="51"/>
      <c r="H21" s="51"/>
      <c r="J21" s="52">
        <f t="shared" si="1"/>
        <v>91.8</v>
      </c>
      <c r="L21" s="51">
        <v>150</v>
      </c>
      <c r="M21" s="51"/>
      <c r="N21" s="51"/>
      <c r="O21" s="51"/>
      <c r="Q21" s="52">
        <f t="shared" si="2"/>
        <v>150</v>
      </c>
    </row>
    <row r="22" spans="1:17" ht="12.75">
      <c r="A22" t="s">
        <v>37</v>
      </c>
      <c r="B22" s="51"/>
      <c r="C22" s="51"/>
      <c r="D22" s="51">
        <v>20</v>
      </c>
      <c r="E22" s="51"/>
      <c r="F22" s="51"/>
      <c r="G22" s="51"/>
      <c r="H22" s="51"/>
      <c r="J22" s="52">
        <f t="shared" si="1"/>
        <v>20</v>
      </c>
      <c r="L22" s="51" t="s">
        <v>158</v>
      </c>
      <c r="M22" s="51"/>
      <c r="N22" s="51"/>
      <c r="O22" s="51"/>
      <c r="Q22" s="52">
        <f t="shared" si="2"/>
        <v>0</v>
      </c>
    </row>
    <row r="23" spans="1:17" ht="12.75">
      <c r="A23" t="s">
        <v>27</v>
      </c>
      <c r="B23" s="51">
        <v>778.19</v>
      </c>
      <c r="C23" s="51">
        <v>778.19</v>
      </c>
      <c r="D23" s="51">
        <v>778.19</v>
      </c>
      <c r="E23" s="51">
        <v>778.19</v>
      </c>
      <c r="F23" s="51">
        <v>778.19</v>
      </c>
      <c r="G23" s="51">
        <v>778.19</v>
      </c>
      <c r="H23" s="51"/>
      <c r="J23" s="52">
        <f t="shared" si="1"/>
        <v>4669.14</v>
      </c>
      <c r="L23" s="51">
        <v>778</v>
      </c>
      <c r="M23" s="51"/>
      <c r="N23" s="51">
        <v>817</v>
      </c>
      <c r="O23" s="51"/>
      <c r="Q23" s="52">
        <f t="shared" si="2"/>
        <v>1595</v>
      </c>
    </row>
    <row r="24" spans="1:17" ht="12.75">
      <c r="A24" t="s">
        <v>61</v>
      </c>
      <c r="B24" s="51">
        <v>55</v>
      </c>
      <c r="C24" s="51">
        <v>55</v>
      </c>
      <c r="D24" s="51">
        <f>1.49+105</f>
        <v>106.49</v>
      </c>
      <c r="E24" s="51">
        <v>55</v>
      </c>
      <c r="F24" s="51">
        <f>163.31</f>
        <v>163.31</v>
      </c>
      <c r="G24" s="51">
        <v>2846</v>
      </c>
      <c r="H24" s="51">
        <v>-80</v>
      </c>
      <c r="J24" s="52">
        <f t="shared" si="1"/>
        <v>3200.8</v>
      </c>
      <c r="L24" s="51">
        <v>1125</v>
      </c>
      <c r="M24" s="51">
        <v>249</v>
      </c>
      <c r="N24" s="51"/>
      <c r="O24" s="51">
        <v>-80</v>
      </c>
      <c r="Q24" s="52">
        <f t="shared" si="2"/>
        <v>1294</v>
      </c>
    </row>
    <row r="25" spans="1:17" ht="12.75">
      <c r="A25" t="s">
        <v>62</v>
      </c>
      <c r="B25" s="51">
        <v>415.2</v>
      </c>
      <c r="C25" s="51">
        <f>27.25</f>
        <v>27.25</v>
      </c>
      <c r="D25" s="51">
        <v>0</v>
      </c>
      <c r="E25" s="51">
        <v>101.38</v>
      </c>
      <c r="F25" s="51"/>
      <c r="G25" s="51"/>
      <c r="H25" s="51"/>
      <c r="J25" s="52">
        <f t="shared" si="1"/>
        <v>543.8299999999999</v>
      </c>
      <c r="L25" s="51"/>
      <c r="M25" s="51"/>
      <c r="N25" s="51"/>
      <c r="O25" s="51"/>
      <c r="Q25" s="52">
        <f t="shared" si="2"/>
        <v>0</v>
      </c>
    </row>
    <row r="26" spans="1:17" ht="12.75">
      <c r="A26" t="s">
        <v>63</v>
      </c>
      <c r="B26" s="51">
        <v>53.25</v>
      </c>
      <c r="C26" s="51">
        <v>92.75</v>
      </c>
      <c r="D26" s="51">
        <v>162.35</v>
      </c>
      <c r="E26" s="51">
        <v>397.85</v>
      </c>
      <c r="F26" s="51">
        <v>317.91</v>
      </c>
      <c r="G26" s="51">
        <v>989.95</v>
      </c>
      <c r="H26" s="51"/>
      <c r="J26" s="52">
        <f t="shared" si="1"/>
        <v>2014.0600000000002</v>
      </c>
      <c r="L26" s="51">
        <v>762</v>
      </c>
      <c r="M26" s="51">
        <v>497</v>
      </c>
      <c r="N26" s="51"/>
      <c r="O26" s="51"/>
      <c r="Q26" s="52">
        <f t="shared" si="2"/>
        <v>1259</v>
      </c>
    </row>
    <row r="27" spans="1:17" ht="12.75">
      <c r="A27" t="s">
        <v>64</v>
      </c>
      <c r="B27" s="51">
        <v>60</v>
      </c>
      <c r="C27" s="51">
        <v>121.95</v>
      </c>
      <c r="D27" s="51">
        <v>660</v>
      </c>
      <c r="E27" s="51">
        <v>60</v>
      </c>
      <c r="F27" s="51">
        <v>105.69</v>
      </c>
      <c r="G27" s="51"/>
      <c r="H27" s="51"/>
      <c r="J27" s="52">
        <f t="shared" si="1"/>
        <v>1007.6400000000001</v>
      </c>
      <c r="L27" s="51">
        <v>370</v>
      </c>
      <c r="M27" s="51">
        <v>130</v>
      </c>
      <c r="N27" s="51"/>
      <c r="O27" s="51"/>
      <c r="Q27" s="52">
        <f t="shared" si="2"/>
        <v>500</v>
      </c>
    </row>
    <row r="28" spans="1:17" ht="12.75">
      <c r="A28" t="s">
        <v>65</v>
      </c>
      <c r="B28" s="51">
        <v>780</v>
      </c>
      <c r="C28" s="51">
        <v>-780</v>
      </c>
      <c r="D28" s="51">
        <v>0</v>
      </c>
      <c r="E28" s="51"/>
      <c r="F28" s="51"/>
      <c r="G28" s="51"/>
      <c r="H28" s="51"/>
      <c r="J28" s="52">
        <f t="shared" si="1"/>
        <v>0</v>
      </c>
      <c r="L28" s="51"/>
      <c r="M28" s="51"/>
      <c r="N28" s="51"/>
      <c r="O28" s="51"/>
      <c r="Q28" s="52">
        <f t="shared" si="2"/>
        <v>0</v>
      </c>
    </row>
    <row r="29" spans="1:17" ht="12.75">
      <c r="A29" t="s">
        <v>157</v>
      </c>
      <c r="B29" s="51"/>
      <c r="C29" s="51"/>
      <c r="D29" s="51"/>
      <c r="E29" s="51"/>
      <c r="F29" s="51"/>
      <c r="G29" s="51"/>
      <c r="H29" s="51"/>
      <c r="J29" s="52"/>
      <c r="L29" s="51">
        <v>1809</v>
      </c>
      <c r="M29" s="51"/>
      <c r="N29" s="51"/>
      <c r="O29" s="51">
        <v>-1809</v>
      </c>
      <c r="Q29" s="52">
        <f t="shared" si="2"/>
        <v>0</v>
      </c>
    </row>
    <row r="30" spans="2:17" ht="12.75">
      <c r="B30" s="51"/>
      <c r="C30" s="51"/>
      <c r="D30" s="51"/>
      <c r="E30" s="51"/>
      <c r="F30" s="51"/>
      <c r="G30" s="51"/>
      <c r="H30" s="51"/>
      <c r="J30" s="52">
        <f t="shared" si="1"/>
        <v>0</v>
      </c>
      <c r="L30" s="51"/>
      <c r="M30" s="51"/>
      <c r="N30" s="51"/>
      <c r="O30" s="51"/>
      <c r="Q30" s="52">
        <f>SUM(I30:O30)</f>
        <v>0</v>
      </c>
    </row>
    <row r="31" spans="1:17" ht="12.75">
      <c r="A31" t="s">
        <v>67</v>
      </c>
      <c r="B31" s="51">
        <f aca="true" t="shared" si="3" ref="B31:H31">SUM(B15:B29)</f>
        <v>2466.94</v>
      </c>
      <c r="C31" s="51">
        <f t="shared" si="3"/>
        <v>2675.31</v>
      </c>
      <c r="D31" s="51">
        <f t="shared" si="3"/>
        <v>4446.84</v>
      </c>
      <c r="E31" s="51">
        <f t="shared" si="3"/>
        <v>2648.67</v>
      </c>
      <c r="F31" s="51">
        <f t="shared" si="3"/>
        <v>5386.99</v>
      </c>
      <c r="G31" s="51">
        <f t="shared" si="3"/>
        <v>8033.08</v>
      </c>
      <c r="H31" s="51">
        <f t="shared" si="3"/>
        <v>-80</v>
      </c>
      <c r="I31" s="51">
        <f>SUM(I15:I28)</f>
        <v>0</v>
      </c>
      <c r="J31" s="52">
        <f t="shared" si="1"/>
        <v>25577.83</v>
      </c>
      <c r="L31" s="51">
        <f>SUM(L15:L29)</f>
        <v>9620</v>
      </c>
      <c r="M31" s="51">
        <f>SUM(M15:M29)</f>
        <v>4272</v>
      </c>
      <c r="N31" s="51">
        <f>SUM(N15:N29)</f>
        <v>817</v>
      </c>
      <c r="O31" s="51">
        <f>SUM(O15:O29)</f>
        <v>-4640</v>
      </c>
      <c r="Q31" s="52">
        <f>SUM(L31:O31)</f>
        <v>10069</v>
      </c>
    </row>
    <row r="32" spans="2:17" ht="12.75">
      <c r="B32" s="51"/>
      <c r="C32" s="51"/>
      <c r="D32" s="51"/>
      <c r="E32" s="51"/>
      <c r="F32" s="51"/>
      <c r="G32" s="51"/>
      <c r="H32" s="51"/>
      <c r="J32" s="52">
        <f t="shared" si="1"/>
        <v>0</v>
      </c>
      <c r="L32" s="51"/>
      <c r="M32" s="51"/>
      <c r="N32" s="51"/>
      <c r="O32" s="51"/>
      <c r="Q32" s="52">
        <f>SUM(I32:O32)</f>
        <v>0</v>
      </c>
    </row>
    <row r="33" spans="1:17" ht="12.75">
      <c r="A33" t="s">
        <v>68</v>
      </c>
      <c r="B33" s="51">
        <f aca="true" t="shared" si="4" ref="B33:H33">B11-B31</f>
        <v>-1098.04</v>
      </c>
      <c r="C33" s="51">
        <f t="shared" si="4"/>
        <v>-1827.21</v>
      </c>
      <c r="D33" s="51">
        <f t="shared" si="4"/>
        <v>-2477.1400000000003</v>
      </c>
      <c r="E33" s="51">
        <f t="shared" si="4"/>
        <v>-1449.83</v>
      </c>
      <c r="F33" s="51">
        <f t="shared" si="4"/>
        <v>2871.210000000001</v>
      </c>
      <c r="G33" s="51">
        <f t="shared" si="4"/>
        <v>3216.42</v>
      </c>
      <c r="H33" s="51">
        <f t="shared" si="4"/>
        <v>-12119</v>
      </c>
      <c r="J33" s="52">
        <f>SUM(B33:H33)</f>
        <v>-12883.59</v>
      </c>
      <c r="L33" s="51">
        <f>L11-L31</f>
        <v>-8551</v>
      </c>
      <c r="M33" s="51">
        <f>M11-M31</f>
        <v>2233</v>
      </c>
      <c r="N33" s="51">
        <f>N11-N31</f>
        <v>963</v>
      </c>
      <c r="O33" s="51">
        <f>O11-O31</f>
        <v>-860</v>
      </c>
      <c r="Q33" s="52">
        <f>SUM(L33:O33)</f>
        <v>-6215</v>
      </c>
    </row>
    <row r="34" spans="2:8" ht="12.75">
      <c r="B34" s="51"/>
      <c r="C34" s="51"/>
      <c r="D34" s="51"/>
      <c r="E34" s="51"/>
      <c r="F34" s="51"/>
      <c r="G34" s="51"/>
      <c r="H34" s="5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="85" zoomScaleNormal="85" zoomScalePageLayoutView="0" workbookViewId="0" topLeftCell="A8">
      <selection activeCell="B16" sqref="B16"/>
    </sheetView>
  </sheetViews>
  <sheetFormatPr defaultColWidth="9.140625" defaultRowHeight="12.75"/>
  <cols>
    <col min="2" max="2" width="13.140625" style="0" customWidth="1"/>
    <col min="3" max="3" width="24.28125" style="0" customWidth="1"/>
    <col min="4" max="4" width="13.140625" style="0" customWidth="1"/>
    <col min="5" max="5" width="24.28125" style="0" customWidth="1"/>
    <col min="7" max="7" width="13.7109375" style="0" customWidth="1"/>
    <col min="8" max="9" width="24.28125" style="0" customWidth="1"/>
    <col min="10" max="10" width="17.8515625" style="0" customWidth="1"/>
  </cols>
  <sheetData>
    <row r="2" ht="12.75">
      <c r="A2" s="57" t="s">
        <v>92</v>
      </c>
    </row>
    <row r="4" spans="1:10" ht="25.5">
      <c r="A4" s="72" t="s">
        <v>143</v>
      </c>
      <c r="B4" s="58" t="s">
        <v>96</v>
      </c>
      <c r="C4" s="58" t="s">
        <v>144</v>
      </c>
      <c r="D4" s="58" t="s">
        <v>94</v>
      </c>
      <c r="E4" s="58" t="s">
        <v>98</v>
      </c>
      <c r="F4" s="58" t="s">
        <v>93</v>
      </c>
      <c r="G4" s="58" t="s">
        <v>99</v>
      </c>
      <c r="H4" s="58" t="s">
        <v>100</v>
      </c>
      <c r="I4" s="58" t="s">
        <v>141</v>
      </c>
      <c r="J4" s="58" t="s">
        <v>102</v>
      </c>
    </row>
    <row r="6" ht="12.75">
      <c r="A6" s="57" t="s">
        <v>2</v>
      </c>
    </row>
    <row r="7" ht="12.75">
      <c r="A7" s="57"/>
    </row>
    <row r="8" spans="1:10" ht="76.5">
      <c r="A8" s="64">
        <v>1</v>
      </c>
      <c r="B8" s="65" t="s">
        <v>108</v>
      </c>
      <c r="C8" s="66" t="s">
        <v>97</v>
      </c>
      <c r="D8" s="65" t="s">
        <v>95</v>
      </c>
      <c r="E8" s="66" t="s">
        <v>19</v>
      </c>
      <c r="F8" s="64">
        <v>91902455</v>
      </c>
      <c r="G8" s="68" t="s">
        <v>145</v>
      </c>
      <c r="H8" s="66" t="s">
        <v>101</v>
      </c>
      <c r="I8" s="73">
        <v>129727.02</v>
      </c>
      <c r="J8" s="66" t="s">
        <v>103</v>
      </c>
    </row>
    <row r="9" spans="1:10" ht="38.25">
      <c r="A9" s="64">
        <v>2</v>
      </c>
      <c r="B9" s="65" t="s">
        <v>108</v>
      </c>
      <c r="C9" s="66" t="s">
        <v>97</v>
      </c>
      <c r="D9" s="65" t="s">
        <v>95</v>
      </c>
      <c r="E9" s="65" t="s">
        <v>104</v>
      </c>
      <c r="F9" s="64">
        <v>63216730</v>
      </c>
      <c r="G9" s="67" t="s">
        <v>134</v>
      </c>
      <c r="H9" s="68" t="s">
        <v>136</v>
      </c>
      <c r="I9" s="74" t="s">
        <v>135</v>
      </c>
      <c r="J9" s="66" t="s">
        <v>105</v>
      </c>
    </row>
    <row r="10" spans="1:10" ht="38.25">
      <c r="A10" s="64">
        <v>3</v>
      </c>
      <c r="B10" s="65" t="s">
        <v>108</v>
      </c>
      <c r="C10" s="66" t="s">
        <v>97</v>
      </c>
      <c r="D10" s="65" t="s">
        <v>106</v>
      </c>
      <c r="E10" s="65" t="s">
        <v>104</v>
      </c>
      <c r="F10" s="64">
        <v>30596458</v>
      </c>
      <c r="G10" s="67" t="s">
        <v>134</v>
      </c>
      <c r="H10" s="68" t="s">
        <v>136</v>
      </c>
      <c r="I10" s="74" t="s">
        <v>135</v>
      </c>
      <c r="J10" s="66" t="s">
        <v>107</v>
      </c>
    </row>
    <row r="11" spans="1:10" ht="12.75">
      <c r="A11" s="59"/>
      <c r="B11" s="59"/>
      <c r="C11" s="59"/>
      <c r="D11" s="59"/>
      <c r="E11" s="59"/>
      <c r="F11" s="59"/>
      <c r="G11" s="59"/>
      <c r="H11" s="59"/>
      <c r="I11" s="62"/>
      <c r="J11" s="59"/>
    </row>
    <row r="12" spans="1:10" ht="12.75">
      <c r="A12" s="63" t="s">
        <v>3</v>
      </c>
      <c r="B12" s="59"/>
      <c r="C12" s="59"/>
      <c r="D12" s="59"/>
      <c r="E12" s="59"/>
      <c r="F12" s="59"/>
      <c r="G12" s="59"/>
      <c r="H12" s="59"/>
      <c r="I12" s="62"/>
      <c r="J12" s="59"/>
    </row>
    <row r="13" spans="1:10" ht="12.75">
      <c r="A13" s="59"/>
      <c r="B13" s="59"/>
      <c r="C13" s="59"/>
      <c r="D13" s="59"/>
      <c r="E13" s="59"/>
      <c r="F13" s="59"/>
      <c r="G13" s="59"/>
      <c r="H13" s="59"/>
      <c r="I13" s="62"/>
      <c r="J13" s="59"/>
    </row>
    <row r="14" spans="1:10" ht="63.75">
      <c r="A14" s="64">
        <v>1</v>
      </c>
      <c r="B14" s="65" t="s">
        <v>108</v>
      </c>
      <c r="C14" s="66" t="s">
        <v>97</v>
      </c>
      <c r="D14" s="65" t="s">
        <v>95</v>
      </c>
      <c r="E14" s="66" t="s">
        <v>109</v>
      </c>
      <c r="F14" s="64">
        <v>47233047</v>
      </c>
      <c r="G14" s="68" t="s">
        <v>146</v>
      </c>
      <c r="H14" s="66" t="s">
        <v>110</v>
      </c>
      <c r="I14" s="73">
        <v>21898.98</v>
      </c>
      <c r="J14" s="66" t="s">
        <v>111</v>
      </c>
    </row>
    <row r="15" spans="1:10" ht="84" customHeight="1">
      <c r="A15" s="64">
        <v>2</v>
      </c>
      <c r="B15" s="65" t="s">
        <v>108</v>
      </c>
      <c r="C15" s="66" t="s">
        <v>97</v>
      </c>
      <c r="D15" s="65" t="s">
        <v>95</v>
      </c>
      <c r="E15" s="65" t="s">
        <v>112</v>
      </c>
      <c r="F15" s="64">
        <v>80408582</v>
      </c>
      <c r="G15" s="68" t="s">
        <v>147</v>
      </c>
      <c r="H15" s="66" t="s">
        <v>115</v>
      </c>
      <c r="I15" s="75">
        <v>139026.74</v>
      </c>
      <c r="J15" s="66" t="s">
        <v>113</v>
      </c>
    </row>
    <row r="16" spans="1:10" ht="38.25">
      <c r="A16" s="64">
        <v>3</v>
      </c>
      <c r="B16" s="66" t="s">
        <v>116</v>
      </c>
      <c r="C16" s="66" t="s">
        <v>114</v>
      </c>
      <c r="D16" s="65" t="s">
        <v>106</v>
      </c>
      <c r="E16" s="65" t="s">
        <v>112</v>
      </c>
      <c r="F16" s="64">
        <v>88504026</v>
      </c>
      <c r="G16" s="68" t="s">
        <v>148</v>
      </c>
      <c r="H16" s="66" t="s">
        <v>115</v>
      </c>
      <c r="I16" s="75">
        <v>20646.72</v>
      </c>
      <c r="J16" s="66" t="s">
        <v>117</v>
      </c>
    </row>
    <row r="17" spans="1:10" ht="38.25">
      <c r="A17" s="64">
        <v>4</v>
      </c>
      <c r="B17" s="65" t="s">
        <v>108</v>
      </c>
      <c r="C17" s="66" t="s">
        <v>97</v>
      </c>
      <c r="D17" s="65" t="s">
        <v>95</v>
      </c>
      <c r="E17" s="65" t="s">
        <v>118</v>
      </c>
      <c r="F17" s="64">
        <v>40353273</v>
      </c>
      <c r="G17" s="68" t="s">
        <v>149</v>
      </c>
      <c r="H17" s="66" t="s">
        <v>120</v>
      </c>
      <c r="I17" s="75">
        <v>19259.51</v>
      </c>
      <c r="J17" s="66" t="s">
        <v>119</v>
      </c>
    </row>
    <row r="18" spans="1:10" ht="94.5" customHeight="1">
      <c r="A18" s="64">
        <v>5</v>
      </c>
      <c r="B18" s="65" t="s">
        <v>121</v>
      </c>
      <c r="C18" s="65" t="s">
        <v>133</v>
      </c>
      <c r="D18" s="65" t="s">
        <v>106</v>
      </c>
      <c r="E18" s="65" t="s">
        <v>123</v>
      </c>
      <c r="F18" s="64">
        <v>5146151</v>
      </c>
      <c r="G18" s="68" t="s">
        <v>150</v>
      </c>
      <c r="H18" s="66" t="s">
        <v>132</v>
      </c>
      <c r="I18" s="76">
        <v>106</v>
      </c>
      <c r="J18" s="68" t="s">
        <v>137</v>
      </c>
    </row>
    <row r="19" spans="1:10" ht="12.75">
      <c r="A19" s="59"/>
      <c r="B19" s="59"/>
      <c r="C19" s="59"/>
      <c r="D19" s="59"/>
      <c r="E19" s="59"/>
      <c r="F19" s="59"/>
      <c r="G19" s="59"/>
      <c r="H19" s="59"/>
      <c r="I19" s="59"/>
      <c r="J19" s="59"/>
    </row>
    <row r="20" spans="1:10" ht="12.75">
      <c r="A20" s="63" t="s">
        <v>72</v>
      </c>
      <c r="B20" s="59"/>
      <c r="C20" s="59"/>
      <c r="D20" s="59"/>
      <c r="E20" s="59"/>
      <c r="F20" s="59"/>
      <c r="G20" s="59"/>
      <c r="H20" s="59"/>
      <c r="I20" s="59"/>
      <c r="J20" s="59"/>
    </row>
    <row r="21" spans="1:10" ht="12.75">
      <c r="A21" s="59"/>
      <c r="B21" s="59"/>
      <c r="C21" s="59"/>
      <c r="D21" s="59"/>
      <c r="E21" s="59"/>
      <c r="F21" s="59"/>
      <c r="G21" s="59"/>
      <c r="H21" s="59"/>
      <c r="I21" s="59"/>
      <c r="J21" s="59"/>
    </row>
    <row r="22" spans="1:10" ht="38.25">
      <c r="A22" s="64">
        <v>1</v>
      </c>
      <c r="B22" s="65" t="s">
        <v>121</v>
      </c>
      <c r="C22" s="66" t="s">
        <v>122</v>
      </c>
      <c r="D22" s="65" t="s">
        <v>95</v>
      </c>
      <c r="E22" s="66" t="s">
        <v>123</v>
      </c>
      <c r="F22" s="64">
        <v>29374669</v>
      </c>
      <c r="G22" s="68" t="s">
        <v>151</v>
      </c>
      <c r="H22" s="66" t="s">
        <v>124</v>
      </c>
      <c r="I22" s="73">
        <v>26713</v>
      </c>
      <c r="J22" s="66" t="s">
        <v>125</v>
      </c>
    </row>
    <row r="23" spans="1:10" ht="38.25">
      <c r="A23" s="64">
        <v>2</v>
      </c>
      <c r="B23" s="65" t="s">
        <v>121</v>
      </c>
      <c r="C23" s="66" t="s">
        <v>122</v>
      </c>
      <c r="D23" s="65" t="s">
        <v>106</v>
      </c>
      <c r="E23" s="66" t="s">
        <v>123</v>
      </c>
      <c r="F23" s="64">
        <v>18766040</v>
      </c>
      <c r="G23" s="68" t="s">
        <v>151</v>
      </c>
      <c r="H23" s="66" t="s">
        <v>126</v>
      </c>
      <c r="I23" s="75">
        <v>10000</v>
      </c>
      <c r="J23" s="66" t="s">
        <v>127</v>
      </c>
    </row>
    <row r="24" spans="1:10" ht="38.25">
      <c r="A24" s="64">
        <v>3</v>
      </c>
      <c r="B24" s="65" t="s">
        <v>121</v>
      </c>
      <c r="C24" s="66" t="s">
        <v>122</v>
      </c>
      <c r="D24" s="65" t="s">
        <v>106</v>
      </c>
      <c r="E24" s="66" t="s">
        <v>123</v>
      </c>
      <c r="F24" s="64">
        <v>18766270</v>
      </c>
      <c r="G24" s="68" t="s">
        <v>151</v>
      </c>
      <c r="H24" s="66" t="s">
        <v>126</v>
      </c>
      <c r="I24" s="75">
        <v>20000</v>
      </c>
      <c r="J24" s="66" t="s">
        <v>128</v>
      </c>
    </row>
    <row r="25" spans="1:10" ht="12.75">
      <c r="A25" s="59"/>
      <c r="B25" s="59"/>
      <c r="C25" s="59"/>
      <c r="D25" s="59"/>
      <c r="E25" s="59"/>
      <c r="F25" s="59"/>
      <c r="G25" s="59"/>
      <c r="H25" s="59"/>
      <c r="I25" s="59"/>
      <c r="J25" s="59"/>
    </row>
    <row r="26" spans="1:10" ht="12.75">
      <c r="A26" s="63" t="s">
        <v>5</v>
      </c>
      <c r="B26" s="60"/>
      <c r="C26" s="61"/>
      <c r="D26" s="60"/>
      <c r="E26" s="60"/>
      <c r="F26" s="59"/>
      <c r="G26" s="59"/>
      <c r="H26" s="61"/>
      <c r="I26" s="62"/>
      <c r="J26" s="61"/>
    </row>
    <row r="27" spans="1:10" ht="12.75">
      <c r="A27" s="59"/>
      <c r="B27" s="59"/>
      <c r="C27" s="59"/>
      <c r="D27" s="59"/>
      <c r="E27" s="59"/>
      <c r="F27" s="59"/>
      <c r="G27" s="59"/>
      <c r="H27" s="59"/>
      <c r="I27" s="59"/>
      <c r="J27" s="59"/>
    </row>
    <row r="28" spans="1:10" ht="38.25">
      <c r="A28" s="64">
        <v>1</v>
      </c>
      <c r="B28" s="67" t="s">
        <v>138</v>
      </c>
      <c r="C28" s="67" t="s">
        <v>139</v>
      </c>
      <c r="D28" s="65" t="s">
        <v>95</v>
      </c>
      <c r="E28" s="65" t="s">
        <v>123</v>
      </c>
      <c r="F28" s="64">
        <v>18361025</v>
      </c>
      <c r="G28" s="68" t="s">
        <v>152</v>
      </c>
      <c r="H28" s="67" t="s">
        <v>140</v>
      </c>
      <c r="I28" s="75">
        <v>6627.23</v>
      </c>
      <c r="J28" s="64"/>
    </row>
    <row r="29" spans="1:10" ht="12.75">
      <c r="A29" s="59"/>
      <c r="B29" s="59"/>
      <c r="C29" s="59"/>
      <c r="D29" s="59"/>
      <c r="E29" s="59"/>
      <c r="F29" s="59"/>
      <c r="G29" s="59"/>
      <c r="H29" s="59"/>
      <c r="I29" s="59"/>
      <c r="J29" s="59"/>
    </row>
    <row r="30" spans="1:10" ht="12.75">
      <c r="A30" s="63" t="s">
        <v>4</v>
      </c>
      <c r="B30" s="59"/>
      <c r="C30" s="59"/>
      <c r="D30" s="59"/>
      <c r="E30" s="59"/>
      <c r="F30" s="59"/>
      <c r="G30" s="59"/>
      <c r="H30" s="59"/>
      <c r="I30" s="59"/>
      <c r="J30" s="59"/>
    </row>
    <row r="31" spans="1:10" ht="12.75">
      <c r="A31" s="59"/>
      <c r="B31" s="59"/>
      <c r="C31" s="59"/>
      <c r="D31" s="59"/>
      <c r="E31" s="59"/>
      <c r="F31" s="59"/>
      <c r="G31" s="59"/>
      <c r="H31" s="59"/>
      <c r="I31" s="59"/>
      <c r="J31" s="59"/>
    </row>
    <row r="32" spans="1:10" ht="38.25">
      <c r="A32" s="64">
        <v>1</v>
      </c>
      <c r="B32" s="65" t="s">
        <v>108</v>
      </c>
      <c r="C32" s="65" t="s">
        <v>129</v>
      </c>
      <c r="D32" s="65" t="s">
        <v>75</v>
      </c>
      <c r="E32" s="66" t="s">
        <v>130</v>
      </c>
      <c r="F32" s="64">
        <v>71415019</v>
      </c>
      <c r="G32" s="67" t="s">
        <v>153</v>
      </c>
      <c r="H32" s="68" t="s">
        <v>131</v>
      </c>
      <c r="I32" s="69">
        <v>10509</v>
      </c>
      <c r="J32" s="64"/>
    </row>
    <row r="33" spans="1:10" ht="12.75">
      <c r="A33" s="59"/>
      <c r="B33" s="59"/>
      <c r="C33" s="59"/>
      <c r="D33" s="59"/>
      <c r="E33" s="59"/>
      <c r="F33" s="59"/>
      <c r="G33" s="59"/>
      <c r="H33" s="59"/>
      <c r="I33" s="59"/>
      <c r="J33" s="59"/>
    </row>
    <row r="34" spans="1:10" ht="12.75">
      <c r="A34" s="70" t="s">
        <v>142</v>
      </c>
      <c r="B34" s="70"/>
      <c r="C34" s="70"/>
      <c r="D34" s="70"/>
      <c r="E34" s="70"/>
      <c r="F34" s="70"/>
      <c r="G34" s="70"/>
      <c r="H34" s="70"/>
      <c r="I34" s="70"/>
      <c r="J34" s="59"/>
    </row>
    <row r="35" spans="1:10" ht="12.75">
      <c r="A35" s="70"/>
      <c r="B35" s="70"/>
      <c r="C35" s="70"/>
      <c r="D35" s="70"/>
      <c r="E35" s="70"/>
      <c r="F35" s="70"/>
      <c r="G35" s="70"/>
      <c r="H35" s="70"/>
      <c r="I35" s="71">
        <f>SUM(I7:I32)</f>
        <v>404514.19999999995</v>
      </c>
      <c r="J35" s="5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</dc:creator>
  <cp:keywords/>
  <dc:description/>
  <cp:lastModifiedBy>user</cp:lastModifiedBy>
  <cp:lastPrinted>2019-07-25T18:11:17Z</cp:lastPrinted>
  <dcterms:created xsi:type="dcterms:W3CDTF">2012-08-05T13:58:43Z</dcterms:created>
  <dcterms:modified xsi:type="dcterms:W3CDTF">2020-09-02T14:31:18Z</dcterms:modified>
  <cp:category/>
  <cp:version/>
  <cp:contentType/>
  <cp:contentStatus/>
</cp:coreProperties>
</file>